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structions" sheetId="1" state="visible" r:id="rId1"/>
    <sheet name="Unit Mix" sheetId="2" state="visible" r:id="rId2"/>
    <sheet name="Assumptions" sheetId="3" state="visible" r:id="rId3"/>
    <sheet name="Year 1 Pro Forma" sheetId="4" state="visible" r:id="rId4"/>
    <sheet name="10-Year Projection" sheetId="5" state="visible" r:id="rId5"/>
    <sheet name="Returns &amp; Sensitivity" sheetId="6" state="visible" r:id="rId6"/>
    <sheet name="Capital Plan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%"/>
    <numFmt numFmtId="165" formatCode="&quot;$&quot;#,##0"/>
    <numFmt numFmtId="166" formatCode="$#,##0"/>
    <numFmt numFmtId="167" formatCode="0.00x"/>
  </numFmts>
  <fonts count="29">
    <font>
      <name val="Calibri"/>
      <family val="2"/>
      <color theme="1"/>
      <sz val="11"/>
      <scheme val="minor"/>
    </font>
    <font>
      <name val="Arial"/>
      <b val="1"/>
      <color rgb="00031E1B"/>
      <sz val="22"/>
    </font>
    <font>
      <name val="Arial"/>
      <color rgb="00408179"/>
      <sz val="12"/>
    </font>
    <font>
      <name val="Arial"/>
      <b val="1"/>
      <color rgb="00031E1B"/>
      <sz val="13"/>
    </font>
    <font>
      <name val="Arial"/>
      <color rgb="0027272A"/>
      <sz val="11"/>
    </font>
    <font>
      <name val="Arial"/>
      <color rgb="0052525B"/>
      <sz val="11"/>
    </font>
    <font>
      <name val="Arial"/>
      <b val="1"/>
      <color rgb="00175F58"/>
      <sz val="12"/>
    </font>
    <font>
      <name val="Arial"/>
      <color rgb="000A3B36"/>
      <sz val="11"/>
    </font>
    <font>
      <name val="Arial"/>
      <b val="1"/>
      <color rgb="00408179"/>
      <sz val="11"/>
    </font>
    <font>
      <name val="Arial"/>
      <color rgb="00408179"/>
      <sz val="11"/>
    </font>
    <font>
      <name val="Arial"/>
      <b val="1"/>
      <color rgb="00031E1B"/>
      <sz val="20"/>
    </font>
    <font>
      <name val="Arial"/>
      <b val="1"/>
      <color rgb="0052525B"/>
      <sz val="9"/>
    </font>
    <font>
      <name val="Arial"/>
      <b val="1"/>
      <color rgb="00031E1B"/>
      <sz val="18"/>
    </font>
    <font>
      <name val="Arial"/>
      <b val="1"/>
      <color rgb="00FFFFFF"/>
      <sz val="11"/>
    </font>
    <font>
      <name val="Arial"/>
      <b val="1"/>
      <color rgb="00031E1B"/>
      <sz val="11"/>
    </font>
    <font>
      <name val="Arial"/>
      <color rgb="001F4E79"/>
      <sz val="11"/>
    </font>
    <font>
      <name val="Arial"/>
      <b val="1"/>
      <color rgb="00031E1B"/>
      <sz val="12"/>
    </font>
    <font>
      <name val="Arial"/>
      <i val="1"/>
      <color rgb="006E9791"/>
      <sz val="9"/>
    </font>
    <font>
      <name val="Arial"/>
      <b val="1"/>
      <color rgb="00FFFFFF"/>
      <sz val="13"/>
    </font>
    <font>
      <name val="Arial"/>
      <b val="1"/>
      <color rgb="001F4E79"/>
      <sz val="11"/>
    </font>
    <font>
      <name val="Arial"/>
      <color rgb="00031E1B"/>
      <sz val="11"/>
    </font>
    <font>
      <name val="Arial"/>
      <b val="1"/>
      <color rgb="00175F58"/>
      <sz val="10"/>
    </font>
    <font>
      <name val="Arial"/>
      <color rgb="0052525B"/>
      <sz val="10"/>
    </font>
    <font>
      <name val="Arial"/>
      <color rgb="00A1A1AA"/>
      <sz val="9"/>
    </font>
    <font>
      <name val="Arial"/>
      <b val="1"/>
      <color rgb="0052525B"/>
      <sz val="10"/>
    </font>
    <font>
      <name val="Arial"/>
      <b val="1"/>
      <color rgb="00A1A1AA"/>
      <sz val="10"/>
    </font>
    <font>
      <name val="Arial"/>
      <color rgb="00DC2626"/>
      <sz val="11"/>
    </font>
    <font>
      <name val="Arial"/>
      <b val="1"/>
      <color rgb="00031E1B"/>
      <sz val="10"/>
    </font>
    <font>
      <name val="Arial"/>
      <i val="1"/>
      <color rgb="00A1A1AA"/>
      <sz val="9"/>
    </font>
  </fonts>
  <fills count="8">
    <fill>
      <patternFill/>
    </fill>
    <fill>
      <patternFill patternType="gray125"/>
    </fill>
    <fill>
      <patternFill patternType="solid">
        <fgColor rgb="00FFFEF0"/>
        <bgColor rgb="00FFFEF0"/>
      </patternFill>
    </fill>
    <fill>
      <patternFill patternType="solid">
        <fgColor rgb="00FFFFFF"/>
        <bgColor rgb="00FFFFFF"/>
      </patternFill>
    </fill>
    <fill>
      <patternFill patternType="solid">
        <fgColor rgb="00CEE8E2"/>
        <bgColor rgb="00CEE8E2"/>
      </patternFill>
    </fill>
    <fill>
      <patternFill patternType="solid">
        <fgColor rgb="00E6F6F3"/>
        <bgColor rgb="00E6F6F3"/>
      </patternFill>
    </fill>
    <fill>
      <patternFill patternType="solid">
        <fgColor rgb="00175F58"/>
        <bgColor rgb="00175F58"/>
      </patternFill>
    </fill>
    <fill>
      <patternFill patternType="solid">
        <fgColor rgb="00FAFAFA"/>
        <bgColor rgb="00FAFAFA"/>
      </patternFill>
    </fill>
  </fills>
  <borders count="16">
    <border>
      <left/>
      <right/>
      <top/>
      <bottom/>
      <diagonal/>
    </border>
    <border>
      <bottom style="thin">
        <color rgb="0099BFB9"/>
      </bottom>
    </border>
    <border>
      <left style="medium">
        <color rgb="00175F58"/>
      </left>
    </border>
    <border>
      <top style="medium">
        <color rgb="00175F58"/>
      </top>
    </border>
    <border>
      <bottom style="medium">
        <color rgb="00175F58"/>
      </bottom>
    </border>
    <border>
      <left style="medium">
        <color rgb="00175F58"/>
      </left>
      <top style="medium">
        <color rgb="00175F58"/>
      </top>
    </border>
    <border>
      <right style="medium">
        <color rgb="00175F58"/>
      </right>
      <top style="medium">
        <color rgb="00175F58"/>
      </top>
    </border>
    <border>
      <left style="medium">
        <color rgb="00175F58"/>
      </left>
      <top/>
      <bottom/>
    </border>
    <border>
      <right style="medium">
        <color rgb="00175F58"/>
      </right>
      <top/>
      <bottom/>
    </border>
    <border>
      <left style="medium">
        <color rgb="00175F58"/>
      </left>
      <bottom style="medium">
        <color rgb="00175F58"/>
      </bottom>
    </border>
    <border>
      <right style="medium">
        <color rgb="00175F58"/>
      </right>
      <bottom style="medium">
        <color rgb="00175F58"/>
      </bottom>
    </border>
    <border>
      <left style="thin">
        <color rgb="00E4E4E7"/>
      </left>
      <right style="thin">
        <color rgb="00E4E4E7"/>
      </right>
      <top style="thin">
        <color rgb="00E4E4E7"/>
      </top>
      <bottom style="thin">
        <color rgb="00E4E4E7"/>
      </bottom>
    </border>
    <border>
      <bottom style="medium">
        <color rgb="0099BFB9"/>
      </bottom>
    </border>
    <border>
      <bottom style="thin">
        <color rgb="00E4E4E7"/>
      </bottom>
    </border>
    <border>
      <top style="thin">
        <color rgb="00ADD4CE"/>
      </top>
    </border>
    <border>
      <top style="thin">
        <color rgb="0099BFB9"/>
      </top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0" borderId="1" pivotButton="0" quotePrefix="0" xfId="0"/>
    <xf numFmtId="0" fontId="3" fillId="0" borderId="0" pivotButton="0" quotePrefix="0" xfId="0"/>
    <xf numFmtId="0" fontId="4" fillId="2" borderId="0" pivotButton="0" quotePrefix="0" xfId="0"/>
    <xf numFmtId="0" fontId="4" fillId="3" borderId="0" pivotButton="0" quotePrefix="0" xfId="0"/>
    <xf numFmtId="0" fontId="4" fillId="4" borderId="0" pivotButton="0" quotePrefix="0" xfId="0"/>
    <xf numFmtId="0" fontId="5" fillId="0" borderId="0" pivotButton="0" quotePrefix="0" xfId="0"/>
    <xf numFmtId="0" fontId="4" fillId="0" borderId="0" pivotButton="0" quotePrefix="0" xfId="0"/>
    <xf numFmtId="0" fontId="6" fillId="5" borderId="2" pivotButton="0" quotePrefix="0" xfId="0"/>
    <xf numFmtId="0" fontId="7" fillId="5" borderId="2" pivotButton="0" quotePrefix="0" xfId="0"/>
    <xf numFmtId="0" fontId="8" fillId="5" borderId="2" pivotButton="0" quotePrefix="0" xfId="0"/>
    <xf numFmtId="0" fontId="0" fillId="5" borderId="2" pivotButton="0" quotePrefix="0" xfId="0"/>
    <xf numFmtId="0" fontId="9" fillId="0" borderId="0" pivotButton="0" quotePrefix="0" xfId="0"/>
    <xf numFmtId="0" fontId="10" fillId="0" borderId="0" pivotButton="0" quotePrefix="0" xfId="0"/>
    <xf numFmtId="0" fontId="11" fillId="5" borderId="5" applyAlignment="1" pivotButton="0" quotePrefix="0" xfId="0">
      <alignment horizontal="center" vertical="bottom"/>
    </xf>
    <xf numFmtId="0" fontId="11" fillId="5" borderId="3" applyAlignment="1" pivotButton="0" quotePrefix="0" xfId="0">
      <alignment horizontal="center" vertical="bottom"/>
    </xf>
    <xf numFmtId="0" fontId="0" fillId="5" borderId="3" pivotButton="0" quotePrefix="0" xfId="0"/>
    <xf numFmtId="0" fontId="0" fillId="0" borderId="6" pivotButton="0" quotePrefix="0" xfId="0"/>
    <xf numFmtId="1" fontId="12" fillId="5" borderId="7" applyAlignment="1" pivotButton="0" quotePrefix="0" xfId="0">
      <alignment horizontal="center" vertical="top"/>
    </xf>
    <xf numFmtId="1" fontId="12" fillId="5" borderId="0" applyAlignment="1" pivotButton="0" quotePrefix="0" xfId="0">
      <alignment horizontal="center" vertical="top"/>
    </xf>
    <xf numFmtId="0" fontId="0" fillId="5" borderId="0" pivotButton="0" quotePrefix="0" xfId="0"/>
    <xf numFmtId="164" fontId="12" fillId="5" borderId="0" applyAlignment="1" pivotButton="0" quotePrefix="0" xfId="0">
      <alignment horizontal="center" vertical="top"/>
    </xf>
    <xf numFmtId="165" fontId="12" fillId="5" borderId="0" applyAlignment="1" pivotButton="0" quotePrefix="0" xfId="0">
      <alignment horizontal="center" vertical="top"/>
    </xf>
    <xf numFmtId="3" fontId="12" fillId="5" borderId="8" applyAlignment="1" pivotButton="0" quotePrefix="0" xfId="0">
      <alignment horizontal="center" vertical="top"/>
    </xf>
    <xf numFmtId="0" fontId="0" fillId="5" borderId="7" pivotButton="0" quotePrefix="0" xfId="0"/>
    <xf numFmtId="0" fontId="0" fillId="0" borderId="8" pivotButton="0" quotePrefix="0" xfId="0"/>
    <xf numFmtId="0" fontId="0" fillId="5" borderId="9" pivotButton="0" quotePrefix="0" xfId="0"/>
    <xf numFmtId="0" fontId="0" fillId="5" borderId="4" pivotButton="0" quotePrefix="0" xfId="0"/>
    <xf numFmtId="0" fontId="0" fillId="0" borderId="10" pivotButton="0" quotePrefix="0" xfId="0"/>
    <xf numFmtId="0" fontId="13" fillId="6" borderId="11" applyAlignment="1" pivotButton="0" quotePrefix="0" xfId="0">
      <alignment horizontal="center" vertical="center" wrapText="1"/>
    </xf>
    <xf numFmtId="0" fontId="14" fillId="3" borderId="11" applyAlignment="1" pivotButton="0" quotePrefix="0" xfId="0">
      <alignment horizontal="left" vertical="center"/>
    </xf>
    <xf numFmtId="1" fontId="15" fillId="2" borderId="11" applyAlignment="1" applyProtection="1" pivotButton="0" quotePrefix="0" xfId="0">
      <alignment horizontal="center" vertical="center"/>
      <protection locked="0" hidden="0"/>
    </xf>
    <xf numFmtId="3" fontId="15" fillId="2" borderId="11" applyAlignment="1" applyProtection="1" pivotButton="0" quotePrefix="0" xfId="0">
      <alignment horizontal="center" vertical="center"/>
      <protection locked="0" hidden="0"/>
    </xf>
    <xf numFmtId="165" fontId="15" fillId="2" borderId="11" applyAlignment="1" applyProtection="1" pivotButton="0" quotePrefix="0" xfId="0">
      <alignment horizontal="right" vertical="center"/>
      <protection locked="0" hidden="0"/>
    </xf>
    <xf numFmtId="165" fontId="4" fillId="3" borderId="11" applyAlignment="1" pivotButton="0" quotePrefix="0" xfId="0">
      <alignment horizontal="right" vertical="center"/>
    </xf>
    <xf numFmtId="165" fontId="14" fillId="3" borderId="11" applyAlignment="1" pivotButton="0" quotePrefix="0" xfId="0">
      <alignment horizontal="right" vertical="center"/>
    </xf>
    <xf numFmtId="0" fontId="14" fillId="7" borderId="11" applyAlignment="1" pivotButton="0" quotePrefix="0" xfId="0">
      <alignment horizontal="left" vertical="center"/>
    </xf>
    <xf numFmtId="165" fontId="4" fillId="7" borderId="11" applyAlignment="1" pivotButton="0" quotePrefix="0" xfId="0">
      <alignment horizontal="right" vertical="center"/>
    </xf>
    <xf numFmtId="165" fontId="14" fillId="7" borderId="11" applyAlignment="1" pivotButton="0" quotePrefix="0" xfId="0">
      <alignment horizontal="right" vertical="center"/>
    </xf>
    <xf numFmtId="0" fontId="4" fillId="2" borderId="11" applyAlignment="1" applyProtection="1" pivotButton="0" quotePrefix="0" xfId="0">
      <alignment horizontal="left" vertical="center"/>
      <protection locked="0" hidden="0"/>
    </xf>
    <xf numFmtId="1" fontId="4" fillId="2" borderId="11" applyAlignment="1" applyProtection="1" pivotButton="0" quotePrefix="0" xfId="0">
      <alignment horizontal="center" vertical="center"/>
      <protection locked="0" hidden="0"/>
    </xf>
    <xf numFmtId="3" fontId="4" fillId="2" borderId="11" applyAlignment="1" applyProtection="1" pivotButton="0" quotePrefix="0" xfId="0">
      <alignment horizontal="center" vertical="center"/>
      <protection locked="0" hidden="0"/>
    </xf>
    <xf numFmtId="165" fontId="4" fillId="2" borderId="11" applyAlignment="1" applyProtection="1" pivotButton="0" quotePrefix="0" xfId="0">
      <alignment horizontal="right" vertical="center"/>
      <protection locked="0" hidden="0"/>
    </xf>
    <xf numFmtId="0" fontId="16" fillId="0" borderId="12" pivotButton="0" quotePrefix="0" xfId="0"/>
    <xf numFmtId="1" fontId="16" fillId="0" borderId="12" applyAlignment="1" pivotButton="0" quotePrefix="0" xfId="0">
      <alignment horizontal="center" vertical="center"/>
    </xf>
    <xf numFmtId="165" fontId="16" fillId="0" borderId="12" applyAlignment="1" pivotButton="0" quotePrefix="0" xfId="0">
      <alignment horizontal="right" vertical="center"/>
    </xf>
    <xf numFmtId="0" fontId="17" fillId="0" borderId="0" pivotButton="0" quotePrefix="0" xfId="0"/>
    <xf numFmtId="0" fontId="0" fillId="3" borderId="0" pivotButton="0" quotePrefix="0" xfId="0"/>
    <xf numFmtId="0" fontId="10" fillId="3" borderId="0" pivotButton="0" quotePrefix="0" xfId="0"/>
    <xf numFmtId="0" fontId="5" fillId="3" borderId="0" pivotButton="0" quotePrefix="0" xfId="0"/>
    <xf numFmtId="0" fontId="0" fillId="6" borderId="0" pivotButton="0" quotePrefix="0" xfId="0"/>
    <xf numFmtId="0" fontId="18" fillId="6" borderId="0" applyAlignment="1" pivotButton="0" quotePrefix="0" xfId="0">
      <alignment horizontal="left" vertical="center"/>
    </xf>
    <xf numFmtId="0" fontId="4" fillId="3" borderId="13" applyAlignment="1" pivotButton="0" quotePrefix="0" xfId="0">
      <alignment horizontal="left" vertical="center"/>
    </xf>
    <xf numFmtId="166" fontId="19" fillId="2" borderId="13" applyAlignment="1" applyProtection="1" pivotButton="0" quotePrefix="0" xfId="0">
      <alignment horizontal="right" vertical="center"/>
      <protection locked="0" hidden="0"/>
    </xf>
    <xf numFmtId="0" fontId="0" fillId="3" borderId="13" pivotButton="0" quotePrefix="0" xfId="0"/>
    <xf numFmtId="1" fontId="20" fillId="3" borderId="13" applyAlignment="1" pivotButton="0" quotePrefix="0" xfId="0">
      <alignment horizontal="right" vertical="center"/>
    </xf>
    <xf numFmtId="166" fontId="20" fillId="3" borderId="13" applyAlignment="1" pivotButton="0" quotePrefix="0" xfId="0">
      <alignment horizontal="right" vertical="center"/>
    </xf>
    <xf numFmtId="3" fontId="20" fillId="3" borderId="13" applyAlignment="1" pivotButton="0" quotePrefix="0" xfId="0">
      <alignment horizontal="right" vertical="center"/>
    </xf>
    <xf numFmtId="164" fontId="19" fillId="2" borderId="13" applyAlignment="1" applyProtection="1" pivotButton="0" quotePrefix="0" xfId="0">
      <alignment horizontal="right" vertical="center"/>
      <protection locked="0" hidden="0"/>
    </xf>
    <xf numFmtId="0" fontId="5" fillId="3" borderId="13" applyAlignment="1" pivotButton="0" quotePrefix="0" xfId="0">
      <alignment horizontal="left" vertical="center"/>
    </xf>
    <xf numFmtId="0" fontId="16" fillId="3" borderId="12" applyAlignment="1" pivotButton="0" quotePrefix="0" xfId="0">
      <alignment horizontal="left" vertical="center"/>
    </xf>
    <xf numFmtId="166" fontId="16" fillId="3" borderId="12" applyAlignment="1" pivotButton="0" quotePrefix="0" xfId="0">
      <alignment horizontal="right" vertical="center"/>
    </xf>
    <xf numFmtId="0" fontId="0" fillId="3" borderId="12" pivotButton="0" quotePrefix="0" xfId="0"/>
    <xf numFmtId="10" fontId="19" fillId="2" borderId="13" applyAlignment="1" applyProtection="1" pivotButton="0" quotePrefix="0" xfId="0">
      <alignment horizontal="right" vertical="center"/>
      <protection locked="0" hidden="0"/>
    </xf>
    <xf numFmtId="1" fontId="19" fillId="2" borderId="13" applyAlignment="1" applyProtection="1" pivotButton="0" quotePrefix="0" xfId="0">
      <alignment horizontal="right" vertical="center"/>
      <protection locked="0" hidden="0"/>
    </xf>
    <xf numFmtId="0" fontId="21" fillId="0" borderId="0" applyAlignment="1" pivotButton="0" quotePrefix="0" xfId="0">
      <alignment horizontal="center" vertical="center"/>
    </xf>
    <xf numFmtId="0" fontId="22" fillId="0" borderId="0" pivotButton="0" quotePrefix="0" xfId="0"/>
    <xf numFmtId="166" fontId="23" fillId="0" borderId="0" pivotButton="0" quotePrefix="0" xfId="0"/>
    <xf numFmtId="0" fontId="24" fillId="0" borderId="0" pivotButton="0" quotePrefix="0" xfId="0"/>
    <xf numFmtId="166" fontId="24" fillId="0" borderId="0" pivotButton="0" quotePrefix="0" xfId="0"/>
    <xf numFmtId="0" fontId="0" fillId="3" borderId="14" pivotButton="0" quotePrefix="0" xfId="0"/>
    <xf numFmtId="0" fontId="17" fillId="3" borderId="14" pivotButton="0" quotePrefix="0" xfId="0"/>
    <xf numFmtId="0" fontId="25" fillId="3" borderId="0" applyAlignment="1" pivotButton="0" quotePrefix="0" xfId="0">
      <alignment horizontal="right" vertical="center"/>
    </xf>
    <xf numFmtId="166" fontId="26" fillId="3" borderId="13" applyAlignment="1" pivotButton="0" quotePrefix="0" xfId="0">
      <alignment horizontal="right" vertical="center"/>
    </xf>
    <xf numFmtId="166" fontId="26" fillId="3" borderId="12" applyAlignment="1" pivotButton="0" quotePrefix="0" xfId="0">
      <alignment horizontal="right" vertical="center"/>
    </xf>
    <xf numFmtId="164" fontId="20" fillId="3" borderId="13" applyAlignment="1" pivotButton="0" quotePrefix="0" xfId="0">
      <alignment horizontal="right" vertical="center"/>
    </xf>
    <xf numFmtId="0" fontId="0" fillId="4" borderId="0" pivotButton="0" quotePrefix="0" xfId="0"/>
    <xf numFmtId="0" fontId="3" fillId="4" borderId="0" applyAlignment="1" pivotButton="0" quotePrefix="0" xfId="0">
      <alignment horizontal="left" vertical="center"/>
    </xf>
    <xf numFmtId="166" fontId="3" fillId="4" borderId="0" applyAlignment="1" pivotButton="0" quotePrefix="0" xfId="0">
      <alignment horizontal="right" vertical="center"/>
    </xf>
    <xf numFmtId="0" fontId="0" fillId="3" borderId="15" pivotButton="0" quotePrefix="0" xfId="0"/>
    <xf numFmtId="0" fontId="6" fillId="3" borderId="15" pivotButton="0" quotePrefix="0" xfId="0"/>
    <xf numFmtId="10" fontId="20" fillId="3" borderId="13" applyAlignment="1" pivotButton="0" quotePrefix="0" xfId="0">
      <alignment horizontal="right" vertical="center"/>
    </xf>
    <xf numFmtId="167" fontId="20" fillId="3" borderId="13" applyAlignment="1" pivotButton="0" quotePrefix="0" xfId="0">
      <alignment horizontal="right" vertical="center"/>
    </xf>
    <xf numFmtId="0" fontId="18" fillId="6" borderId="0" applyAlignment="1" pivotButton="0" quotePrefix="0" xfId="0">
      <alignment horizontal="center" vertical="center"/>
    </xf>
    <xf numFmtId="166" fontId="20" fillId="3" borderId="0" pivotButton="0" quotePrefix="0" xfId="0"/>
    <xf numFmtId="166" fontId="26" fillId="3" borderId="0" pivotButton="0" quotePrefix="0" xfId="0"/>
    <xf numFmtId="0" fontId="16" fillId="3" borderId="12" pivotButton="0" quotePrefix="0" xfId="0"/>
    <xf numFmtId="166" fontId="16" fillId="3" borderId="12" pivotButton="0" quotePrefix="0" xfId="0"/>
    <xf numFmtId="0" fontId="3" fillId="4" borderId="0" pivotButton="0" quotePrefix="0" xfId="0"/>
    <xf numFmtId="166" fontId="3" fillId="4" borderId="0" pivotButton="0" quotePrefix="0" xfId="0"/>
    <xf numFmtId="0" fontId="21" fillId="3" borderId="0" applyAlignment="1" pivotButton="0" quotePrefix="0" xfId="0">
      <alignment horizontal="center" vertical="center"/>
    </xf>
    <xf numFmtId="0" fontId="6" fillId="3" borderId="0" pivotButton="0" quotePrefix="0" xfId="0"/>
    <xf numFmtId="166" fontId="0" fillId="3" borderId="0" pivotButton="0" quotePrefix="0" xfId="0"/>
    <xf numFmtId="164" fontId="3" fillId="4" borderId="0" applyAlignment="1" pivotButton="0" quotePrefix="0" xfId="0">
      <alignment horizontal="right" vertical="center"/>
    </xf>
    <xf numFmtId="167" fontId="3" fillId="4" borderId="0" applyAlignment="1" pivotButton="0" quotePrefix="0" xfId="0">
      <alignment horizontal="right" vertical="center"/>
    </xf>
    <xf numFmtId="0" fontId="23" fillId="3" borderId="0" pivotButton="0" quotePrefix="0" xfId="0"/>
    <xf numFmtId="164" fontId="23" fillId="3" borderId="0" applyAlignment="1" pivotButton="0" quotePrefix="0" xfId="0">
      <alignment horizontal="center" vertical="center"/>
    </xf>
    <xf numFmtId="166" fontId="23" fillId="3" borderId="0" pivotButton="0" quotePrefix="0" xfId="0"/>
    <xf numFmtId="0" fontId="27" fillId="3" borderId="0" pivotButton="0" quotePrefix="0" xfId="0"/>
    <xf numFmtId="164" fontId="13" fillId="6" borderId="0" applyAlignment="1" pivotButton="0" quotePrefix="0" xfId="0">
      <alignment horizontal="center" vertical="center"/>
    </xf>
    <xf numFmtId="10" fontId="14" fillId="5" borderId="0" applyAlignment="1" pivotButton="0" quotePrefix="0" xfId="0">
      <alignment horizontal="center" vertical="center"/>
    </xf>
    <xf numFmtId="167" fontId="14" fillId="3" borderId="11" applyAlignment="1" pivotButton="0" quotePrefix="0" xfId="0">
      <alignment horizontal="center" vertical="center"/>
    </xf>
    <xf numFmtId="0" fontId="28" fillId="3" borderId="0" pivotButton="0" quotePrefix="0" xfId="0"/>
    <xf numFmtId="9" fontId="19" fillId="2" borderId="13" applyAlignment="1" applyProtection="1" pivotButton="0" quotePrefix="0" xfId="0">
      <alignment horizontal="right" vertical="center"/>
      <protection locked="0" hidden="0"/>
    </xf>
  </cellXfs>
  <cellStyles count="1">
    <cellStyle name="Normal" xfId="0" builtinId="0" hidden="0"/>
  </cellStyles>
  <dxfs count="1">
    <dxf>
      <font>
        <b val="1"/>
        <color rgb="00DC2626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</row>
      <rowOff>0</rowOff>
    </from>
    <ext cx="1905000" cy="333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4:B30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80" customWidth="1" min="2" max="2"/>
    <col width="4" customWidth="1" min="3" max="3"/>
  </cols>
  <sheetData>
    <row r="2" ht="43" customHeight="1"/>
    <row r="4" ht="36" customHeight="1">
      <c r="B4" s="1" t="inlineStr">
        <is>
          <t>Multifamily Acquisition Pro Forma</t>
        </is>
      </c>
    </row>
    <row r="5">
      <c r="B5" s="2" t="inlineStr">
        <is>
          <t>Built by PropRise Primer  |  proprise.ai/primer</t>
        </is>
      </c>
    </row>
    <row r="6" ht="8" customHeight="1">
      <c r="B6" s="3" t="n"/>
    </row>
    <row r="7">
      <c r="B7" s="4" t="inlineStr">
        <is>
          <t>COLOR LEGEND</t>
        </is>
      </c>
    </row>
    <row r="8" ht="26" customHeight="1">
      <c r="B8" s="5" t="inlineStr">
        <is>
          <t xml:space="preserve">  Yellow cells with blue text:  YOUR INPUTS — edit these with your deal data</t>
        </is>
      </c>
    </row>
    <row r="9" ht="26" customHeight="1">
      <c r="B9" s="6" t="inlineStr">
        <is>
          <t xml:space="preserve">  White cells:  FORMULAS — calculated automatically (protected)</t>
        </is>
      </c>
    </row>
    <row r="10" ht="26" customHeight="1">
      <c r="B10" s="7" t="inlineStr">
        <is>
          <t xml:space="preserve">  Green highlight:  KEY METRICS — NOI, Cash Flow, IRR, returns</t>
        </is>
      </c>
    </row>
    <row r="12">
      <c r="B12" s="4" t="inlineStr">
        <is>
          <t>GETTING STARTED</t>
        </is>
      </c>
    </row>
    <row r="13" ht="22" customHeight="1">
      <c r="B13" s="8" t="inlineStr">
        <is>
          <t>This template includes sample data for a 150-unit Sunbelt multifamily value-add deal ($18M purchase, 65% LTV, 5.5% rate).</t>
        </is>
      </c>
    </row>
    <row r="15" ht="24" customHeight="1">
      <c r="B15" s="9" t="inlineStr">
        <is>
          <t xml:space="preserve">  1. Replace sample data on the Unit Mix tab with your unit types and rents</t>
        </is>
      </c>
    </row>
    <row r="16" ht="24" customHeight="1">
      <c r="B16" s="9" t="inlineStr">
        <is>
          <t xml:space="preserve">  2. Add rows for additional unit types if needed (blank rows provided)</t>
        </is>
      </c>
    </row>
    <row r="17" ht="24" customHeight="1">
      <c r="B17" s="9" t="inlineStr">
        <is>
          <t xml:space="preserve">  3. Update the Assumptions tab with your deal terms (price, financing, growth)</t>
        </is>
      </c>
    </row>
    <row r="18" ht="24" customHeight="1">
      <c r="B18" s="9" t="inlineStr">
        <is>
          <t xml:space="preserve">  4. Enter operating expenses on Year 1 Pro Forma (yellow cells only)</t>
        </is>
      </c>
    </row>
    <row r="19" ht="24" customHeight="1">
      <c r="B19" s="9" t="inlineStr">
        <is>
          <t xml:space="preserve">  5. Set renovation scope on Capital Plan tab (or zero it out for stabilized deals)</t>
        </is>
      </c>
    </row>
    <row r="20" ht="24" customHeight="1">
      <c r="B20" s="9" t="inlineStr">
        <is>
          <t xml:space="preserve">  6. Review the Returns &amp; Sensitivity tab for IRR, equity multiple, and scenarios</t>
        </is>
      </c>
    </row>
    <row r="23" ht="8" customHeight="1"/>
    <row r="24" ht="28" customHeight="1">
      <c r="B24" s="10" t="inlineStr">
        <is>
          <t xml:space="preserve">  TIP: Automate this with Primer</t>
        </is>
      </c>
    </row>
    <row r="25" ht="22" customHeight="1">
      <c r="B25" s="11" t="inlineStr">
        <is>
          <t xml:space="preserve">  Have a rent roll or T12 PDF? Primer extracts your data and maps it directly to this template. No manual typing required.</t>
        </is>
      </c>
    </row>
    <row r="26">
      <c r="B26" s="12" t="inlineStr">
        <is>
          <t xml:space="preserve">  Learn more: proprise.ai/primer</t>
        </is>
      </c>
    </row>
    <row r="27">
      <c r="B27" s="13" t="n"/>
    </row>
    <row r="28">
      <c r="B28" s="4" t="inlineStr">
        <is>
          <t>MORE FREE TEMPLATES</t>
        </is>
      </c>
    </row>
    <row r="29">
      <c r="B29" s="14" t="inlineStr">
        <is>
          <t xml:space="preserve">  Rent Roll Template — proprise.ai/primer/rent-roll-template</t>
        </is>
      </c>
    </row>
    <row r="30">
      <c r="B30" s="14" t="inlineStr">
        <is>
          <t xml:space="preserve">  T-12 Financial Statement Template — proprise.ai/primer/t12-template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K22"/>
  <sheetViews>
    <sheetView showGridLines="0"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6" customWidth="1" min="4" max="4"/>
    <col width="16" customWidth="1" min="5" max="5"/>
    <col width="14" customWidth="1" min="6" max="6"/>
    <col width="13" customWidth="1" min="7" max="7"/>
    <col width="18" customWidth="1" min="8" max="8"/>
    <col width="16" customWidth="1" min="9" max="9"/>
    <col width="18" customWidth="1" min="10" max="10"/>
    <col width="14" customWidth="1" min="11" max="11"/>
  </cols>
  <sheetData>
    <row r="1" ht="8" customHeight="1"/>
    <row r="2" ht="28" customHeight="1">
      <c r="A2" s="15" t="inlineStr">
        <is>
          <t>Unit Mix</t>
        </is>
      </c>
    </row>
    <row r="3" ht="18" customHeight="1">
      <c r="A3" s="8" t="inlineStr">
        <is>
          <t>PropRise Primer Template  |  150-Unit Multifamily</t>
        </is>
      </c>
    </row>
    <row r="5" ht="16" customHeight="1">
      <c r="A5" s="16" t="inlineStr">
        <is>
          <t>TOTAL UNITS</t>
        </is>
      </c>
      <c r="B5" s="17" t="inlineStr">
        <is>
          <t>OCCUPIED</t>
        </is>
      </c>
      <c r="C5" s="17" t="inlineStr">
        <is>
          <t>VACANT</t>
        </is>
      </c>
      <c r="D5" s="18" t="n"/>
      <c r="E5" s="17" t="inlineStr">
        <is>
          <t>OCCUPANCY</t>
        </is>
      </c>
      <c r="F5" s="18" t="n"/>
      <c r="G5" s="17" t="inlineStr">
        <is>
          <t>MONTHLY GPR</t>
        </is>
      </c>
      <c r="H5" s="17" t="inlineStr">
        <is>
          <t>AVG MKT RENT</t>
        </is>
      </c>
      <c r="I5" s="17" t="inlineStr">
        <is>
          <t>LOSS-TO-LEASE</t>
        </is>
      </c>
      <c r="J5" s="17" t="inlineStr">
        <is>
          <t>TOTAL SF</t>
        </is>
      </c>
      <c r="K5" s="19" t="n"/>
    </row>
    <row r="6" ht="28" customHeight="1">
      <c r="A6" s="20">
        <f>SUM(B12:B19)</f>
        <v/>
      </c>
      <c r="B6" s="21">
        <f>SUM(B12:B19)-SUM(G12:G19)</f>
        <v/>
      </c>
      <c r="C6" s="21">
        <f>SUM(G12:G19)</f>
        <v/>
      </c>
      <c r="D6" s="22" t="n"/>
      <c r="E6" s="23">
        <f>IF(A6&gt;0,(A6-C6)/A6,0)</f>
        <v/>
      </c>
      <c r="F6" s="22" t="n"/>
      <c r="G6" s="24">
        <f>SUM(H12:H19)</f>
        <v/>
      </c>
      <c r="H6" s="24">
        <f>IF(A6&gt;0,G6/A6,0)</f>
        <v/>
      </c>
      <c r="I6" s="24">
        <f>SUM(I12:I19)</f>
        <v/>
      </c>
      <c r="J6" s="22" t="n"/>
      <c r="K6" s="25">
        <f>SUMPRODUCT(B12:B19*C12:C19)</f>
        <v/>
      </c>
    </row>
    <row r="7" ht="6" customHeight="1">
      <c r="A7" s="26" t="n"/>
      <c r="B7" s="22" t="n"/>
      <c r="C7" s="22" t="n"/>
      <c r="D7" s="22" t="n"/>
      <c r="E7" s="22" t="n"/>
      <c r="F7" s="22" t="n"/>
      <c r="G7" s="22" t="n"/>
      <c r="H7" s="22" t="n"/>
      <c r="I7" s="22" t="n"/>
      <c r="J7" s="22" t="n"/>
      <c r="K7" s="27" t="n"/>
    </row>
    <row r="8" ht="6" customHeight="1">
      <c r="A8" s="28" t="n"/>
      <c r="B8" s="29" t="n"/>
      <c r="C8" s="29" t="n"/>
      <c r="D8" s="29" t="n"/>
      <c r="E8" s="29" t="n"/>
      <c r="F8" s="29" t="n"/>
      <c r="G8" s="29" t="n"/>
      <c r="H8" s="29" t="n"/>
      <c r="I8" s="29" t="n"/>
      <c r="J8" s="29" t="n"/>
      <c r="K8" s="30" t="n"/>
    </row>
    <row r="11" ht="28" customHeight="1">
      <c r="A11" s="31" t="inlineStr">
        <is>
          <t>Unit Type</t>
        </is>
      </c>
      <c r="B11" s="31" t="inlineStr">
        <is>
          <t># Units</t>
        </is>
      </c>
      <c r="C11" s="31" t="inlineStr">
        <is>
          <t>Avg SF</t>
        </is>
      </c>
      <c r="D11" s="31" t="inlineStr">
        <is>
          <t>Market Rent</t>
        </is>
      </c>
      <c r="E11" s="31" t="inlineStr">
        <is>
          <t>In-Place Rent</t>
        </is>
      </c>
      <c r="F11" s="31" t="inlineStr">
        <is>
          <t>LTL / Unit</t>
        </is>
      </c>
      <c r="G11" s="31" t="inlineStr">
        <is>
          <t>Vacant Units</t>
        </is>
      </c>
      <c r="H11" s="31" t="inlineStr">
        <is>
          <t>Monthly GPR
(at Market)</t>
        </is>
      </c>
      <c r="I11" s="31" t="inlineStr">
        <is>
          <t>Monthly LTL</t>
        </is>
      </c>
      <c r="J11" s="31" t="inlineStr">
        <is>
          <t>Monthly
Net Rent</t>
        </is>
      </c>
    </row>
    <row r="12" ht="24" customHeight="1">
      <c r="A12" s="32" t="inlineStr">
        <is>
          <t>Studio</t>
        </is>
      </c>
      <c r="B12" s="33" t="n">
        <v>25</v>
      </c>
      <c r="C12" s="34" t="n">
        <v>500</v>
      </c>
      <c r="D12" s="35" t="n">
        <v>1175</v>
      </c>
      <c r="E12" s="35" t="n">
        <v>1080</v>
      </c>
      <c r="F12" s="36">
        <f>IF(E12&gt;0,D12-E12,0)</f>
        <v/>
      </c>
      <c r="G12" s="33" t="n">
        <v>2</v>
      </c>
      <c r="H12" s="37">
        <f>B12*D12</f>
        <v/>
      </c>
      <c r="I12" s="36">
        <f>(B12-G12)*F12</f>
        <v/>
      </c>
      <c r="J12" s="36">
        <f>(B12-G12)*E12</f>
        <v/>
      </c>
    </row>
    <row r="13" ht="24" customHeight="1">
      <c r="A13" s="38" t="inlineStr">
        <is>
          <t>1BR/1BA</t>
        </is>
      </c>
      <c r="B13" s="33" t="n">
        <v>55</v>
      </c>
      <c r="C13" s="34" t="n">
        <v>750</v>
      </c>
      <c r="D13" s="35" t="n">
        <v>1440</v>
      </c>
      <c r="E13" s="35" t="n">
        <v>1270</v>
      </c>
      <c r="F13" s="39">
        <f>IF(E13&gt;0,D13-E13,0)</f>
        <v/>
      </c>
      <c r="G13" s="33" t="n">
        <v>3</v>
      </c>
      <c r="H13" s="40">
        <f>B13*D13</f>
        <v/>
      </c>
      <c r="I13" s="39">
        <f>(B13-G13)*F13</f>
        <v/>
      </c>
      <c r="J13" s="39">
        <f>(B13-G13)*E13</f>
        <v/>
      </c>
    </row>
    <row r="14" ht="24" customHeight="1">
      <c r="A14" s="32" t="inlineStr">
        <is>
          <t>2BR/2BA</t>
        </is>
      </c>
      <c r="B14" s="33" t="n">
        <v>45</v>
      </c>
      <c r="C14" s="34" t="n">
        <v>1050</v>
      </c>
      <c r="D14" s="35" t="n">
        <v>1838</v>
      </c>
      <c r="E14" s="35" t="n">
        <v>1580</v>
      </c>
      <c r="F14" s="36">
        <f>IF(E14&gt;0,D14-E14,0)</f>
        <v/>
      </c>
      <c r="G14" s="33" t="n">
        <v>2</v>
      </c>
      <c r="H14" s="37">
        <f>B14*D14</f>
        <v/>
      </c>
      <c r="I14" s="36">
        <f>(B14-G14)*F14</f>
        <v/>
      </c>
      <c r="J14" s="36">
        <f>(B14-G14)*E14</f>
        <v/>
      </c>
    </row>
    <row r="15" ht="24" customHeight="1">
      <c r="A15" s="38" t="inlineStr">
        <is>
          <t>3BR/2BA</t>
        </is>
      </c>
      <c r="B15" s="33" t="n">
        <v>25</v>
      </c>
      <c r="C15" s="34" t="n">
        <v>1250</v>
      </c>
      <c r="D15" s="35" t="n">
        <v>2100</v>
      </c>
      <c r="E15" s="35" t="n">
        <v>1950</v>
      </c>
      <c r="F15" s="39">
        <f>IF(E15&gt;0,D15-E15,0)</f>
        <v/>
      </c>
      <c r="G15" s="33" t="n">
        <v>1</v>
      </c>
      <c r="H15" s="40">
        <f>B15*D15</f>
        <v/>
      </c>
      <c r="I15" s="39">
        <f>(B15-G15)*F15</f>
        <v/>
      </c>
      <c r="J15" s="39">
        <f>(B15-G15)*E15</f>
        <v/>
      </c>
    </row>
    <row r="16" ht="24" customHeight="1">
      <c r="A16" s="41" t="n"/>
      <c r="B16" s="42" t="n"/>
      <c r="C16" s="43" t="n"/>
      <c r="D16" s="44" t="n"/>
      <c r="E16" s="44" t="n"/>
      <c r="F16" s="36">
        <f>IF(E16&gt;0,D16-E16,0)</f>
        <v/>
      </c>
      <c r="G16" s="42" t="n"/>
      <c r="H16" s="36">
        <f>B16*D16</f>
        <v/>
      </c>
      <c r="I16" s="36">
        <f>(B16-G16)*F16</f>
        <v/>
      </c>
      <c r="J16" s="36">
        <f>(B16-G16)*E16</f>
        <v/>
      </c>
    </row>
    <row r="17" ht="24" customHeight="1">
      <c r="A17" s="41" t="n"/>
      <c r="B17" s="42" t="n"/>
      <c r="C17" s="43" t="n"/>
      <c r="D17" s="44" t="n"/>
      <c r="E17" s="44" t="n"/>
      <c r="F17" s="39">
        <f>IF(E17&gt;0,D17-E17,0)</f>
        <v/>
      </c>
      <c r="G17" s="42" t="n"/>
      <c r="H17" s="39">
        <f>B17*D17</f>
        <v/>
      </c>
      <c r="I17" s="39">
        <f>(B17-G17)*F17</f>
        <v/>
      </c>
      <c r="J17" s="39">
        <f>(B17-G17)*E17</f>
        <v/>
      </c>
    </row>
    <row r="18" ht="24" customHeight="1">
      <c r="A18" s="41" t="n"/>
      <c r="B18" s="42" t="n"/>
      <c r="C18" s="43" t="n"/>
      <c r="D18" s="44" t="n"/>
      <c r="E18" s="44" t="n"/>
      <c r="F18" s="36">
        <f>IF(E18&gt;0,D18-E18,0)</f>
        <v/>
      </c>
      <c r="G18" s="42" t="n"/>
      <c r="H18" s="36">
        <f>B18*D18</f>
        <v/>
      </c>
      <c r="I18" s="36">
        <f>(B18-G18)*F18</f>
        <v/>
      </c>
      <c r="J18" s="36">
        <f>(B18-G18)*E18</f>
        <v/>
      </c>
    </row>
    <row r="19" ht="24" customHeight="1">
      <c r="A19" s="41" t="n"/>
      <c r="B19" s="42" t="n"/>
      <c r="C19" s="43" t="n"/>
      <c r="D19" s="44" t="n"/>
      <c r="E19" s="44" t="n"/>
      <c r="F19" s="39">
        <f>IF(E19&gt;0,D19-E19,0)</f>
        <v/>
      </c>
      <c r="G19" s="42" t="n"/>
      <c r="H19" s="39">
        <f>B19*D19</f>
        <v/>
      </c>
      <c r="I19" s="39">
        <f>(B19-G19)*F19</f>
        <v/>
      </c>
      <c r="J19" s="39">
        <f>(B19-G19)*E19</f>
        <v/>
      </c>
    </row>
    <row r="20" ht="26" customHeight="1">
      <c r="A20" s="45" t="inlineStr">
        <is>
          <t>TOTAL</t>
        </is>
      </c>
      <c r="B20" s="46">
        <f>SUM(B12:B19)</f>
        <v/>
      </c>
      <c r="G20" s="46">
        <f>SUM(G12:G19)</f>
        <v/>
      </c>
      <c r="H20" s="47">
        <f>SUM(H12:H19)</f>
        <v/>
      </c>
      <c r="I20" s="47">
        <f>SUM(I12:I19)</f>
        <v/>
      </c>
      <c r="J20" s="47">
        <f>SUM(J12:J19)</f>
        <v/>
      </c>
    </row>
    <row r="22">
      <c r="A22" s="48" t="inlineStr">
        <is>
          <t>Built with PropRise Primer  |  proprise.ai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dataValidations count="1">
    <dataValidation sqref="A12:A19" showDropDown="0" showInputMessage="0" showErrorMessage="0" allowBlank="1" type="list">
      <formula1>"Studio,1BR/1BA,1BR/1.5BA,2BR/1BA,2BR/2BA,3BR/2BA,3BR/3BA,Penthouse"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4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</cols>
  <sheetData>
    <row r="1" ht="8" customHeight="1">
      <c r="A1" s="49" t="n"/>
      <c r="B1" s="49" t="n"/>
      <c r="C1" s="49" t="n"/>
      <c r="D1" s="49" t="n"/>
      <c r="E1" s="49" t="n"/>
      <c r="F1" s="49" t="n"/>
      <c r="G1" s="49" t="n"/>
      <c r="H1" s="49" t="n"/>
      <c r="I1" s="49" t="n"/>
      <c r="J1" s="49" t="n"/>
      <c r="K1" s="49" t="n"/>
      <c r="L1" s="49" t="n"/>
    </row>
    <row r="2" ht="32" customHeight="1">
      <c r="A2" s="49" t="n"/>
      <c r="B2" s="50" t="inlineStr">
        <is>
          <t>Deal Assumptions</t>
        </is>
      </c>
      <c r="C2" s="49" t="n"/>
      <c r="D2" s="49" t="n"/>
      <c r="E2" s="49" t="n"/>
      <c r="F2" s="49" t="n"/>
      <c r="G2" s="49" t="n"/>
      <c r="H2" s="49" t="n"/>
      <c r="I2" s="49" t="n"/>
      <c r="J2" s="49" t="n"/>
      <c r="K2" s="49" t="n"/>
      <c r="L2" s="49" t="n"/>
    </row>
    <row r="3" ht="18" customHeight="1">
      <c r="A3" s="49" t="n"/>
      <c r="B3" s="51" t="inlineStr">
        <is>
          <t>PropRise Primer Template</t>
        </is>
      </c>
      <c r="C3" s="49" t="n"/>
      <c r="D3" s="49" t="n"/>
      <c r="E3" s="49" t="n"/>
      <c r="F3" s="49" t="n"/>
      <c r="G3" s="49" t="n"/>
      <c r="H3" s="49" t="n"/>
      <c r="I3" s="49" t="n"/>
      <c r="J3" s="49" t="n"/>
      <c r="K3" s="49" t="n"/>
      <c r="L3" s="49" t="n"/>
    </row>
    <row r="4">
      <c r="A4" s="49" t="n"/>
      <c r="B4" s="49" t="n"/>
      <c r="C4" s="49" t="n"/>
      <c r="D4" s="49" t="n"/>
      <c r="E4" s="49" t="n"/>
      <c r="F4" s="49" t="n"/>
      <c r="G4" s="49" t="n"/>
      <c r="H4" s="49" t="n"/>
      <c r="I4" s="49" t="n"/>
      <c r="J4" s="49" t="n"/>
      <c r="K4" s="49" t="n"/>
      <c r="L4" s="49" t="n"/>
    </row>
    <row r="5" ht="12" customHeight="1">
      <c r="A5" s="49" t="n"/>
      <c r="B5" s="49" t="n"/>
      <c r="C5" s="49" t="n"/>
      <c r="D5" s="49" t="n"/>
      <c r="E5" s="49" t="n"/>
      <c r="F5" s="49" t="n"/>
      <c r="G5" s="49" t="n"/>
      <c r="H5" s="49" t="n"/>
      <c r="I5" s="49" t="n"/>
      <c r="J5" s="49" t="n"/>
      <c r="K5" s="49" t="n"/>
      <c r="L5" s="49" t="n"/>
    </row>
    <row r="6" ht="28" customHeight="1">
      <c r="A6" s="52" t="n"/>
      <c r="B6" s="53" t="inlineStr">
        <is>
          <t>ACQUISITION</t>
        </is>
      </c>
      <c r="C6" s="52" t="n"/>
      <c r="D6" s="52" t="n"/>
      <c r="E6" s="52" t="n"/>
      <c r="F6" s="52" t="n"/>
      <c r="G6" s="52" t="n"/>
      <c r="H6" s="52" t="n"/>
      <c r="I6" s="52" t="n"/>
      <c r="J6" s="52" t="n"/>
      <c r="K6" s="52" t="n"/>
      <c r="L6" s="52" t="n"/>
    </row>
    <row r="7" ht="24" customHeight="1">
      <c r="A7" s="49" t="n"/>
      <c r="B7" s="54" t="inlineStr">
        <is>
          <t>Purchase Price</t>
        </is>
      </c>
      <c r="C7" s="55" t="n">
        <v>18000000</v>
      </c>
      <c r="D7" s="56" t="n"/>
      <c r="E7" s="49" t="n"/>
      <c r="F7" s="49" t="n"/>
      <c r="G7" s="49" t="n"/>
      <c r="H7" s="49" t="n"/>
      <c r="I7" s="49" t="n"/>
      <c r="J7" s="49" t="n"/>
      <c r="K7" s="49" t="n"/>
      <c r="L7" s="49" t="n"/>
    </row>
    <row r="8" ht="24" customHeight="1">
      <c r="A8" s="49" t="n"/>
      <c r="B8" s="54" t="inlineStr">
        <is>
          <t>Number of Units</t>
        </is>
      </c>
      <c r="C8" s="57">
        <f>'Unit Mix'!A6</f>
        <v/>
      </c>
      <c r="D8" s="56" t="n"/>
      <c r="E8" s="49" t="n"/>
      <c r="F8" s="49" t="n"/>
      <c r="G8" s="49" t="n"/>
      <c r="H8" s="49" t="n"/>
      <c r="I8" s="49" t="n"/>
      <c r="J8" s="49" t="n"/>
      <c r="K8" s="49" t="n"/>
      <c r="L8" s="49" t="n"/>
    </row>
    <row r="9" ht="24" customHeight="1">
      <c r="A9" s="49" t="n"/>
      <c r="B9" s="54" t="inlineStr">
        <is>
          <t>Price per Unit</t>
        </is>
      </c>
      <c r="C9" s="58">
        <f>IF(C8&gt;0,C7/C8,0)</f>
        <v/>
      </c>
      <c r="D9" s="56" t="n"/>
      <c r="E9" s="49" t="n"/>
      <c r="F9" s="49" t="n"/>
      <c r="G9" s="49" t="n"/>
      <c r="H9" s="49" t="n"/>
      <c r="I9" s="49" t="n"/>
      <c r="J9" s="49" t="n"/>
      <c r="K9" s="49" t="n"/>
      <c r="L9" s="49" t="n"/>
    </row>
    <row r="10" ht="24" customHeight="1">
      <c r="A10" s="49" t="n"/>
      <c r="B10" s="54" t="inlineStr">
        <is>
          <t>Total Rentable SF</t>
        </is>
      </c>
      <c r="C10" s="59">
        <f>'Unit Mix'!K6</f>
        <v/>
      </c>
      <c r="D10" s="56" t="n"/>
      <c r="E10" s="49" t="n"/>
      <c r="F10" s="49" t="n"/>
      <c r="G10" s="49" t="n"/>
      <c r="H10" s="49" t="n"/>
      <c r="I10" s="49" t="n"/>
      <c r="J10" s="49" t="n"/>
      <c r="K10" s="49" t="n"/>
      <c r="L10" s="49" t="n"/>
    </row>
    <row r="11" ht="24" customHeight="1">
      <c r="A11" s="49" t="n"/>
      <c r="B11" s="54" t="inlineStr">
        <is>
          <t>Price per SF</t>
        </is>
      </c>
      <c r="C11" s="58">
        <f>IF(C10&gt;0,C7/C10,0)</f>
        <v/>
      </c>
      <c r="D11" s="56" t="n"/>
      <c r="E11" s="49" t="n"/>
      <c r="F11" s="49" t="n"/>
      <c r="G11" s="49" t="n"/>
      <c r="H11" s="49" t="n"/>
      <c r="I11" s="49" t="n"/>
      <c r="J11" s="49" t="n"/>
      <c r="K11" s="49" t="n"/>
      <c r="L11" s="49" t="n"/>
    </row>
    <row r="12" ht="24" customHeight="1">
      <c r="A12" s="49" t="n"/>
      <c r="B12" s="54" t="inlineStr">
        <is>
          <t>Closing Costs (%)</t>
        </is>
      </c>
      <c r="C12" s="60" t="n">
        <v>0.02</v>
      </c>
      <c r="D12" s="56" t="n"/>
      <c r="E12" s="49" t="n"/>
      <c r="F12" s="49" t="n"/>
      <c r="G12" s="49" t="n"/>
      <c r="H12" s="49" t="n"/>
      <c r="I12" s="49" t="n"/>
      <c r="J12" s="49" t="n"/>
      <c r="K12" s="49" t="n"/>
      <c r="L12" s="49" t="n"/>
    </row>
    <row r="13" ht="24" customHeight="1">
      <c r="A13" s="49" t="n"/>
      <c r="B13" s="61" t="inlineStr">
        <is>
          <t xml:space="preserve">   Closing Costs ($)</t>
        </is>
      </c>
      <c r="C13" s="58">
        <f>C7*C12</f>
        <v/>
      </c>
      <c r="D13" s="56" t="n"/>
      <c r="E13" s="49" t="n"/>
      <c r="F13" s="49" t="n"/>
      <c r="G13" s="49" t="n"/>
      <c r="H13" s="49" t="n"/>
      <c r="I13" s="49" t="n"/>
      <c r="J13" s="49" t="n"/>
      <c r="K13" s="49" t="n"/>
      <c r="L13" s="49" t="n"/>
    </row>
    <row r="14" ht="28" customHeight="1">
      <c r="A14" s="49" t="n"/>
      <c r="B14" s="62" t="inlineStr">
        <is>
          <t>Total Acquisition Cost</t>
        </is>
      </c>
      <c r="C14" s="63">
        <f>C7+C13</f>
        <v/>
      </c>
      <c r="D14" s="64" t="n"/>
      <c r="E14" s="49" t="n"/>
      <c r="F14" s="49" t="n"/>
      <c r="G14" s="49" t="n"/>
      <c r="H14" s="49" t="n"/>
      <c r="I14" s="49" t="n"/>
      <c r="J14" s="49" t="n"/>
      <c r="K14" s="49" t="n"/>
      <c r="L14" s="49" t="n"/>
    </row>
    <row r="15" ht="12" customHeight="1">
      <c r="A15" s="49" t="n"/>
      <c r="B15" s="49" t="n"/>
      <c r="C15" s="49" t="n"/>
      <c r="D15" s="49" t="n"/>
      <c r="E15" s="49" t="n"/>
      <c r="F15" s="49" t="n"/>
      <c r="G15" s="49" t="n"/>
      <c r="H15" s="49" t="n"/>
      <c r="I15" s="49" t="n"/>
      <c r="J15" s="49" t="n"/>
      <c r="K15" s="49" t="n"/>
      <c r="L15" s="49" t="n"/>
    </row>
    <row r="16" ht="28" customHeight="1">
      <c r="A16" s="52" t="n"/>
      <c r="B16" s="53" t="inlineStr">
        <is>
          <t>FINANCING</t>
        </is>
      </c>
      <c r="C16" s="52" t="n"/>
      <c r="D16" s="52" t="n"/>
      <c r="E16" s="52" t="n"/>
      <c r="F16" s="52" t="n"/>
      <c r="G16" s="52" t="n"/>
      <c r="H16" s="52" t="n"/>
      <c r="I16" s="52" t="n"/>
      <c r="J16" s="52" t="n"/>
      <c r="K16" s="52" t="n"/>
      <c r="L16" s="52" t="n"/>
    </row>
    <row r="17" ht="24" customHeight="1">
      <c r="A17" s="49" t="n"/>
      <c r="B17" s="54" t="inlineStr">
        <is>
          <t>Loan-to-Value (LTV)</t>
        </is>
      </c>
      <c r="C17" s="60" t="n">
        <v>0.65</v>
      </c>
      <c r="D17" s="56" t="n"/>
      <c r="E17" s="49" t="n"/>
      <c r="F17" s="49" t="n"/>
      <c r="G17" s="49" t="n"/>
      <c r="H17" s="49" t="n"/>
      <c r="I17" s="49" t="n"/>
      <c r="J17" s="49" t="n"/>
      <c r="K17" s="49" t="n"/>
      <c r="L17" s="49" t="n"/>
    </row>
    <row r="18" ht="24" customHeight="1">
      <c r="A18" s="49" t="n"/>
      <c r="B18" s="54" t="inlineStr">
        <is>
          <t>Loan Amount</t>
        </is>
      </c>
      <c r="C18" s="58">
        <f>C7*C17</f>
        <v/>
      </c>
      <c r="D18" s="56" t="n"/>
      <c r="E18" s="49" t="n"/>
      <c r="F18" s="49" t="n"/>
      <c r="G18" s="49" t="n"/>
      <c r="H18" s="49" t="n"/>
      <c r="I18" s="49" t="n"/>
      <c r="J18" s="49" t="n"/>
      <c r="K18" s="49" t="n"/>
      <c r="L18" s="49" t="n"/>
    </row>
    <row r="19" ht="24" customHeight="1">
      <c r="A19" s="49" t="n"/>
      <c r="B19" s="54" t="inlineStr">
        <is>
          <t>Interest Rate</t>
        </is>
      </c>
      <c r="C19" s="65" t="n">
        <v>0.055</v>
      </c>
      <c r="D19" s="56" t="n"/>
      <c r="E19" s="49" t="n"/>
      <c r="F19" s="49" t="n"/>
      <c r="G19" s="49" t="n"/>
      <c r="H19" s="49" t="n"/>
      <c r="I19" s="49" t="n"/>
      <c r="J19" s="49" t="n"/>
      <c r="K19" s="49" t="n"/>
      <c r="L19" s="49" t="n"/>
    </row>
    <row r="20" ht="24" customHeight="1">
      <c r="A20" s="49" t="n"/>
      <c r="B20" s="54" t="inlineStr">
        <is>
          <t>Amortization (years)</t>
        </is>
      </c>
      <c r="C20" s="66" t="n">
        <v>30</v>
      </c>
      <c r="D20" s="56" t="n"/>
      <c r="E20" s="49" t="n"/>
      <c r="F20" s="49" t="n"/>
      <c r="G20" s="49" t="n"/>
      <c r="H20" s="49" t="n"/>
      <c r="I20" s="49" t="n"/>
      <c r="J20" s="49" t="n"/>
      <c r="K20" s="49" t="n"/>
      <c r="L20" s="49" t="n"/>
    </row>
    <row r="21" ht="24" customHeight="1">
      <c r="A21" s="49" t="n"/>
      <c r="B21" s="54" t="inlineStr">
        <is>
          <t>Interest-Only Period (years)</t>
        </is>
      </c>
      <c r="C21" s="66" t="n">
        <v>0</v>
      </c>
      <c r="D21" s="56" t="n"/>
      <c r="E21" s="49" t="n"/>
      <c r="F21" s="49" t="n"/>
      <c r="G21" s="49" t="n"/>
      <c r="H21" s="49" t="n"/>
      <c r="I21" s="49" t="n"/>
      <c r="J21" s="49" t="n"/>
      <c r="K21" s="49" t="n"/>
      <c r="L21" s="49" t="n"/>
    </row>
    <row r="22" ht="24" customHeight="1">
      <c r="A22" s="49" t="n"/>
      <c r="B22" s="54" t="inlineStr">
        <is>
          <t>Annual Debt Service</t>
        </is>
      </c>
      <c r="C22" s="58">
        <f>IF(C21&gt;0,C18*C19,-PMT(C19/12,C20*12,C18)*12)</f>
        <v/>
      </c>
      <c r="D22" s="56" t="n"/>
      <c r="E22" s="49" t="n"/>
      <c r="F22" s="49" t="n"/>
      <c r="G22" s="49" t="n"/>
      <c r="H22" s="49" t="n"/>
      <c r="I22" s="49" t="n"/>
      <c r="J22" s="49" t="n"/>
      <c r="K22" s="49" t="n"/>
      <c r="L22" s="49" t="n"/>
    </row>
    <row r="23" ht="28" customHeight="1">
      <c r="A23" s="49" t="n"/>
      <c r="B23" s="62" t="inlineStr">
        <is>
          <t>Equity Required</t>
        </is>
      </c>
      <c r="C23" s="63">
        <f>C14+'Capital Plan'!C32-C18</f>
        <v/>
      </c>
      <c r="D23" s="64" t="n"/>
      <c r="E23" s="49" t="n"/>
      <c r="F23" s="49" t="n"/>
      <c r="G23" s="49" t="n"/>
      <c r="H23" s="49" t="n"/>
      <c r="I23" s="49" t="n"/>
      <c r="J23" s="49" t="n"/>
      <c r="K23" s="49" t="n"/>
      <c r="L23" s="49" t="n"/>
    </row>
    <row r="24" ht="12" customHeight="1">
      <c r="A24" s="49" t="n"/>
      <c r="B24" s="49" t="n"/>
      <c r="C24" s="49" t="n"/>
      <c r="D24" s="49" t="n"/>
      <c r="E24" s="49" t="n"/>
      <c r="F24" s="49" t="n"/>
      <c r="G24" s="49" t="n"/>
      <c r="H24" s="49" t="n"/>
      <c r="I24" s="49" t="n"/>
      <c r="J24" s="49" t="n"/>
      <c r="K24" s="49" t="n"/>
      <c r="L24" s="49" t="n"/>
    </row>
    <row r="25" ht="28" customHeight="1">
      <c r="A25" s="52" t="n"/>
      <c r="B25" s="53" t="inlineStr">
        <is>
          <t>GROWTH ASSUMPTIONS</t>
        </is>
      </c>
      <c r="C25" s="52" t="n"/>
      <c r="D25" s="52" t="n"/>
      <c r="E25" s="52" t="n"/>
      <c r="F25" s="52" t="n"/>
      <c r="G25" s="52" t="n"/>
      <c r="H25" s="52" t="n"/>
      <c r="I25" s="52" t="n"/>
      <c r="J25" s="52" t="n"/>
      <c r="K25" s="52" t="n"/>
      <c r="L25" s="52" t="n"/>
    </row>
    <row r="26" ht="24" customHeight="1">
      <c r="A26" s="49" t="n"/>
      <c r="B26" s="54" t="inlineStr">
        <is>
          <t>Annual Rent Growth</t>
        </is>
      </c>
      <c r="C26" s="60" t="n">
        <v>0.03</v>
      </c>
      <c r="D26" s="56" t="n"/>
      <c r="E26" s="49" t="n"/>
      <c r="F26" s="49" t="n"/>
      <c r="G26" s="49" t="n"/>
      <c r="H26" s="49" t="n"/>
      <c r="I26" s="49" t="n"/>
      <c r="J26" s="49" t="n"/>
      <c r="K26" s="49" t="n"/>
      <c r="L26" s="49" t="n"/>
    </row>
    <row r="27" ht="24" customHeight="1">
      <c r="A27" s="49" t="n"/>
      <c r="B27" s="54" t="inlineStr">
        <is>
          <t>Expense Inflation</t>
        </is>
      </c>
      <c r="C27" s="60" t="n">
        <v>0.025</v>
      </c>
      <c r="D27" s="56" t="n"/>
      <c r="E27" s="49" t="n"/>
      <c r="F27" s="49" t="n"/>
      <c r="G27" s="49" t="n"/>
      <c r="H27" s="49" t="n"/>
      <c r="I27" s="49" t="n"/>
      <c r="J27" s="49" t="n"/>
      <c r="K27" s="49" t="n"/>
      <c r="L27" s="49" t="n"/>
    </row>
    <row r="28" ht="24" customHeight="1">
      <c r="A28" s="49" t="n"/>
      <c r="B28" s="54" t="inlineStr">
        <is>
          <t>Stabilized Vacancy</t>
        </is>
      </c>
      <c r="C28" s="60" t="n">
        <v>0.05</v>
      </c>
      <c r="D28" s="56" t="n"/>
      <c r="E28" s="49" t="n"/>
      <c r="F28" s="49" t="n"/>
      <c r="G28" s="49" t="n"/>
      <c r="H28" s="49" t="n"/>
      <c r="I28" s="49" t="n"/>
      <c r="J28" s="49" t="n"/>
      <c r="K28" s="49" t="n"/>
      <c r="L28" s="49" t="n"/>
    </row>
    <row r="29" ht="12" customHeight="1">
      <c r="A29" s="49" t="n"/>
      <c r="B29" s="49" t="n"/>
      <c r="C29" s="49" t="n"/>
      <c r="D29" s="49" t="n"/>
      <c r="E29" s="49" t="n"/>
      <c r="F29" s="49" t="n"/>
      <c r="G29" s="49" t="n"/>
      <c r="H29" s="49" t="n"/>
      <c r="I29" s="49" t="n"/>
      <c r="J29" s="49" t="n"/>
      <c r="K29" s="49" t="n"/>
      <c r="L29" s="49" t="n"/>
    </row>
    <row r="30" ht="28" customHeight="1">
      <c r="A30" s="52" t="n"/>
      <c r="B30" s="53" t="inlineStr">
        <is>
          <t>EXIT ASSUMPTIONS</t>
        </is>
      </c>
      <c r="C30" s="52" t="n"/>
      <c r="D30" s="52" t="n"/>
      <c r="E30" s="52" t="n"/>
      <c r="F30" s="52" t="n"/>
      <c r="G30" s="52" t="n"/>
      <c r="H30" s="52" t="n"/>
      <c r="I30" s="52" t="n"/>
      <c r="J30" s="52" t="n"/>
      <c r="K30" s="52" t="n"/>
      <c r="L30" s="52" t="n"/>
    </row>
    <row r="31" ht="24" customHeight="1">
      <c r="A31" s="49" t="n"/>
      <c r="B31" s="54" t="inlineStr">
        <is>
          <t>Hold Period (years)</t>
        </is>
      </c>
      <c r="C31" s="66" t="n">
        <v>5</v>
      </c>
      <c r="D31" s="56" t="n"/>
      <c r="E31" s="49" t="n"/>
      <c r="F31" s="49" t="n"/>
      <c r="G31" s="49" t="n"/>
      <c r="H31" s="49" t="n"/>
      <c r="I31" s="49" t="n"/>
      <c r="J31" s="49" t="n"/>
      <c r="K31" s="49" t="n"/>
      <c r="L31" s="49" t="n"/>
    </row>
    <row r="32" ht="24" customHeight="1">
      <c r="A32" s="49" t="n"/>
      <c r="B32" s="54" t="inlineStr">
        <is>
          <t>Exit Cap Rate</t>
        </is>
      </c>
      <c r="C32" s="65" t="n">
        <v>0.055</v>
      </c>
      <c r="D32" s="56" t="n"/>
      <c r="E32" s="49" t="n"/>
      <c r="F32" s="49" t="n"/>
      <c r="G32" s="49" t="n"/>
      <c r="H32" s="49" t="n"/>
      <c r="I32" s="49" t="n"/>
      <c r="J32" s="49" t="n"/>
      <c r="K32" s="49" t="n"/>
      <c r="L32" s="49" t="n"/>
    </row>
    <row r="33" ht="24" customHeight="1">
      <c r="A33" s="49" t="n"/>
      <c r="B33" s="54" t="inlineStr">
        <is>
          <t>Disposition Costs (%)</t>
        </is>
      </c>
      <c r="C33" s="60" t="n">
        <v>0.02</v>
      </c>
      <c r="D33" s="56" t="n"/>
      <c r="E33" s="49" t="n"/>
      <c r="F33" s="49" t="n"/>
      <c r="G33" s="49" t="n"/>
      <c r="H33" s="49" t="n"/>
      <c r="I33" s="49" t="n"/>
      <c r="J33" s="49" t="n"/>
      <c r="K33" s="49" t="n"/>
      <c r="L33" s="49" t="n"/>
    </row>
    <row r="34" ht="12" customHeight="1">
      <c r="A34" s="49" t="n"/>
      <c r="B34" s="49" t="n"/>
      <c r="C34" s="49" t="n"/>
      <c r="D34" s="49" t="n"/>
      <c r="E34" s="49" t="n"/>
      <c r="F34" s="49" t="n"/>
      <c r="G34" s="49" t="n"/>
      <c r="H34" s="49" t="n"/>
      <c r="I34" s="49" t="n"/>
      <c r="J34" s="49" t="n"/>
      <c r="K34" s="49" t="n"/>
      <c r="L34" s="49" t="n"/>
    </row>
    <row r="35" ht="12" customHeight="1">
      <c r="A35" s="49" t="n"/>
      <c r="B35" s="49" t="n"/>
      <c r="C35" s="49" t="n"/>
      <c r="D35" s="49" t="n"/>
      <c r="E35" s="49" t="n"/>
      <c r="F35" s="49" t="n"/>
      <c r="G35" s="49" t="n"/>
      <c r="H35" s="49" t="n"/>
      <c r="I35" s="49" t="n"/>
      <c r="J35" s="49" t="n"/>
      <c r="K35" s="49" t="n"/>
      <c r="L35" s="49" t="n"/>
    </row>
    <row r="36" ht="28" customHeight="1">
      <c r="A36" s="52" t="n"/>
      <c r="B36" s="53" t="inlineStr">
        <is>
          <t>AMORTIZATION SCHEDULE</t>
        </is>
      </c>
      <c r="C36" s="52" t="n"/>
      <c r="D36" s="52" t="n"/>
      <c r="E36" s="52" t="n"/>
      <c r="F36" s="52" t="n"/>
      <c r="G36" s="52" t="n"/>
      <c r="H36" s="52" t="n"/>
      <c r="I36" s="52" t="n"/>
      <c r="J36" s="52" t="n"/>
      <c r="K36" s="52" t="n"/>
      <c r="L36" s="52" t="n"/>
    </row>
    <row r="37" ht="20" customHeight="1">
      <c r="B37" t="inlineStr"/>
      <c r="C37" s="67" t="inlineStr">
        <is>
          <t>Year 1</t>
        </is>
      </c>
      <c r="D37" s="67" t="inlineStr">
        <is>
          <t>Year 2</t>
        </is>
      </c>
      <c r="E37" s="67" t="inlineStr">
        <is>
          <t>Year 3</t>
        </is>
      </c>
      <c r="F37" s="67" t="inlineStr">
        <is>
          <t>Year 4</t>
        </is>
      </c>
      <c r="G37" s="67" t="inlineStr">
        <is>
          <t>Year 5</t>
        </is>
      </c>
      <c r="H37" s="67" t="inlineStr">
        <is>
          <t>Year 6</t>
        </is>
      </c>
      <c r="I37" s="67" t="inlineStr">
        <is>
          <t>Year 7</t>
        </is>
      </c>
      <c r="J37" s="67" t="inlineStr">
        <is>
          <t>Year 8</t>
        </is>
      </c>
      <c r="K37" s="67" t="inlineStr">
        <is>
          <t>Year 9</t>
        </is>
      </c>
      <c r="L37" s="67" t="inlineStr">
        <is>
          <t>Year 10</t>
        </is>
      </c>
    </row>
    <row r="38" ht="20" customHeight="1">
      <c r="B38" s="68" t="inlineStr">
        <is>
          <t>Beginning Balance</t>
        </is>
      </c>
      <c r="C38" s="69">
        <f>C18</f>
        <v/>
      </c>
      <c r="D38" s="69">
        <f>C41</f>
        <v/>
      </c>
      <c r="E38" s="69">
        <f>D41</f>
        <v/>
      </c>
      <c r="F38" s="69">
        <f>E41</f>
        <v/>
      </c>
      <c r="G38" s="69">
        <f>F41</f>
        <v/>
      </c>
      <c r="H38" s="69">
        <f>G41</f>
        <v/>
      </c>
      <c r="I38" s="69">
        <f>H41</f>
        <v/>
      </c>
      <c r="J38" s="69">
        <f>I41</f>
        <v/>
      </c>
      <c r="K38" s="69">
        <f>J41</f>
        <v/>
      </c>
      <c r="L38" s="69">
        <f>K41</f>
        <v/>
      </c>
    </row>
    <row r="39" ht="20" customHeight="1">
      <c r="B39" s="68" t="inlineStr">
        <is>
          <t>Interest Payment</t>
        </is>
      </c>
      <c r="C39" s="69">
        <f>C38*Assumptions!$C$19</f>
        <v/>
      </c>
      <c r="D39" s="69">
        <f>D38*Assumptions!$C$19</f>
        <v/>
      </c>
      <c r="E39" s="69">
        <f>E38*Assumptions!$C$19</f>
        <v/>
      </c>
      <c r="F39" s="69">
        <f>F38*Assumptions!$C$19</f>
        <v/>
      </c>
      <c r="G39" s="69">
        <f>G38*Assumptions!$C$19</f>
        <v/>
      </c>
      <c r="H39" s="69">
        <f>H38*Assumptions!$C$19</f>
        <v/>
      </c>
      <c r="I39" s="69">
        <f>I38*Assumptions!$C$19</f>
        <v/>
      </c>
      <c r="J39" s="69">
        <f>J38*Assumptions!$C$19</f>
        <v/>
      </c>
      <c r="K39" s="69">
        <f>K38*Assumptions!$C$19</f>
        <v/>
      </c>
      <c r="L39" s="69">
        <f>L38*Assumptions!$C$19</f>
        <v/>
      </c>
    </row>
    <row r="40" ht="20" customHeight="1">
      <c r="B40" s="68" t="inlineStr">
        <is>
          <t>Principal Payment</t>
        </is>
      </c>
      <c r="C40" s="69">
        <f>IF(1&lt;=$C$21,0,$C$22-C39)</f>
        <v/>
      </c>
      <c r="D40" s="69">
        <f>IF(2&lt;=$C$21,0,$C$22-D39)</f>
        <v/>
      </c>
      <c r="E40" s="69">
        <f>IF(3&lt;=$C$21,0,$C$22-E39)</f>
        <v/>
      </c>
      <c r="F40" s="69">
        <f>IF(4&lt;=$C$21,0,$C$22-F39)</f>
        <v/>
      </c>
      <c r="G40" s="69">
        <f>IF(5&lt;=$C$21,0,$C$22-G39)</f>
        <v/>
      </c>
      <c r="H40" s="69">
        <f>IF(6&lt;=$C$21,0,$C$22-H39)</f>
        <v/>
      </c>
      <c r="I40" s="69">
        <f>IF(7&lt;=$C$21,0,$C$22-I39)</f>
        <v/>
      </c>
      <c r="J40" s="69">
        <f>IF(8&lt;=$C$21,0,$C$22-J39)</f>
        <v/>
      </c>
      <c r="K40" s="69">
        <f>IF(9&lt;=$C$21,0,$C$22-K39)</f>
        <v/>
      </c>
      <c r="L40" s="69">
        <f>IF(10&lt;=$C$21,0,$C$22-L39)</f>
        <v/>
      </c>
    </row>
    <row r="41" ht="20" customHeight="1">
      <c r="B41" s="70" t="inlineStr">
        <is>
          <t>Ending Balance</t>
        </is>
      </c>
      <c r="C41" s="71">
        <f>C38-C40</f>
        <v/>
      </c>
      <c r="D41" s="71">
        <f>D38-D40</f>
        <v/>
      </c>
      <c r="E41" s="71">
        <f>E38-E40</f>
        <v/>
      </c>
      <c r="F41" s="71">
        <f>F38-F40</f>
        <v/>
      </c>
      <c r="G41" s="71">
        <f>G38-G40</f>
        <v/>
      </c>
      <c r="H41" s="71">
        <f>H38-H40</f>
        <v/>
      </c>
      <c r="I41" s="71">
        <f>I38-I40</f>
        <v/>
      </c>
      <c r="J41" s="71">
        <f>J38-J40</f>
        <v/>
      </c>
      <c r="K41" s="71">
        <f>K38-K40</f>
        <v/>
      </c>
      <c r="L41" s="71">
        <f>L38-L40</f>
        <v/>
      </c>
    </row>
    <row r="42" ht="20" customHeight="1">
      <c r="B42" s="68" t="inlineStr">
        <is>
          <t>Annual Debt Service</t>
        </is>
      </c>
      <c r="C42" s="69">
        <f>IF(1&lt;=$C$21,C39,$C$22)</f>
        <v/>
      </c>
      <c r="D42" s="69">
        <f>IF(2&lt;=$C$21,D39,$C$22)</f>
        <v/>
      </c>
      <c r="E42" s="69">
        <f>IF(3&lt;=$C$21,E39,$C$22)</f>
        <v/>
      </c>
      <c r="F42" s="69">
        <f>IF(4&lt;=$C$21,F39,$C$22)</f>
        <v/>
      </c>
      <c r="G42" s="69">
        <f>IF(5&lt;=$C$21,G39,$C$22)</f>
        <v/>
      </c>
      <c r="H42" s="69">
        <f>IF(6&lt;=$C$21,H39,$C$22)</f>
        <v/>
      </c>
      <c r="I42" s="69">
        <f>IF(7&lt;=$C$21,I39,$C$22)</f>
        <v/>
      </c>
      <c r="J42" s="69">
        <f>IF(8&lt;=$C$21,J39,$C$22)</f>
        <v/>
      </c>
      <c r="K42" s="69">
        <f>IF(9&lt;=$C$21,K39,$C$22)</f>
        <v/>
      </c>
      <c r="L42" s="69">
        <f>IF(10&lt;=$C$21,L39,$C$22)</f>
        <v/>
      </c>
    </row>
    <row r="44" ht="20" customHeight="1">
      <c r="A44" s="49" t="n"/>
      <c r="B44" s="49" t="n"/>
      <c r="C44" s="49" t="n"/>
      <c r="D44" s="49" t="n"/>
      <c r="E44" s="49" t="n"/>
      <c r="F44" s="49" t="n"/>
      <c r="G44" s="49" t="n"/>
      <c r="H44" s="49" t="n"/>
      <c r="I44" s="49" t="n"/>
      <c r="J44" s="49" t="n"/>
      <c r="K44" s="49" t="n"/>
      <c r="L44" s="49" t="n"/>
    </row>
    <row r="45">
      <c r="A45" s="72" t="n"/>
      <c r="B45" s="73" t="inlineStr">
        <is>
          <t>Built with PropRise Primer  |  proprise.ai</t>
        </is>
      </c>
      <c r="C45" s="72" t="n"/>
      <c r="D45" s="72" t="n"/>
      <c r="E45" s="72" t="n"/>
      <c r="F45" s="72" t="n"/>
      <c r="G45" s="72" t="n"/>
      <c r="H45" s="72" t="n"/>
      <c r="I45" s="72" t="n"/>
      <c r="J45" s="72" t="n"/>
      <c r="K45" s="72" t="n"/>
      <c r="L45" s="72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pageMargins left="0.5" right="0.5" top="0.75" bottom="0.75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4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8" customWidth="1" min="2" max="2"/>
    <col width="18" customWidth="1" min="3" max="3"/>
    <col width="15" customWidth="1" min="4" max="4"/>
  </cols>
  <sheetData>
    <row r="1" ht="8" customHeight="1">
      <c r="A1" s="49" t="n"/>
      <c r="B1" s="49" t="n"/>
      <c r="C1" s="49" t="n"/>
      <c r="D1" s="49" t="n"/>
    </row>
    <row r="2" ht="32" customHeight="1">
      <c r="A2" s="49" t="n"/>
      <c r="B2" s="50" t="inlineStr">
        <is>
          <t>Year 1 Pro Forma</t>
        </is>
      </c>
      <c r="C2" s="49" t="n"/>
      <c r="D2" s="49" t="n"/>
    </row>
    <row r="3" ht="18" customHeight="1">
      <c r="A3" s="49" t="n"/>
      <c r="B3" s="51" t="inlineStr">
        <is>
          <t>PropRise Primer Template</t>
        </is>
      </c>
      <c r="C3" s="49" t="n"/>
      <c r="D3" s="49" t="n"/>
    </row>
    <row r="4">
      <c r="A4" s="49" t="n"/>
      <c r="B4" s="49" t="n"/>
      <c r="C4" s="49" t="n"/>
      <c r="D4" s="74" t="inlineStr">
        <is>
          <t>$/Unit</t>
        </is>
      </c>
    </row>
    <row r="5" ht="12" customHeight="1">
      <c r="A5" s="49" t="n"/>
      <c r="B5" s="49" t="n"/>
      <c r="C5" s="49" t="n"/>
      <c r="D5" s="49" t="n"/>
    </row>
    <row r="6" ht="28" customHeight="1">
      <c r="A6" s="52" t="n"/>
      <c r="B6" s="53" t="inlineStr">
        <is>
          <t>REVENUE</t>
        </is>
      </c>
      <c r="C6" s="52" t="n"/>
      <c r="D6" s="52" t="n"/>
    </row>
    <row r="7" ht="24" customHeight="1">
      <c r="A7" s="49" t="n"/>
      <c r="B7" s="54" t="inlineStr">
        <is>
          <t>Gross Potential Rent (at Market)</t>
        </is>
      </c>
      <c r="C7" s="58">
        <f>SUM('Unit Mix'!H12:H19)*12</f>
        <v/>
      </c>
      <c r="D7" s="58">
        <f>IF(Assumptions!$C$8&gt;0,C7/Assumptions!$C$8,0)</f>
        <v/>
      </c>
    </row>
    <row r="8" ht="24" customHeight="1">
      <c r="A8" s="49" t="n"/>
      <c r="B8" s="61" t="inlineStr">
        <is>
          <t xml:space="preserve">   Less: Loss to Lease</t>
        </is>
      </c>
      <c r="C8" s="75">
        <f>-SUM('Unit Mix'!I12:I19)*12</f>
        <v/>
      </c>
      <c r="D8" s="75">
        <f>IF(Assumptions!$C$8&gt;0,C8/Assumptions!$C$8,0)</f>
        <v/>
      </c>
    </row>
    <row r="9" ht="24" customHeight="1">
      <c r="A9" s="49" t="n"/>
      <c r="B9" s="54" t="inlineStr">
        <is>
          <t>Less: Concessions</t>
        </is>
      </c>
      <c r="C9" s="55" t="n">
        <v>0</v>
      </c>
      <c r="D9" s="58">
        <f>IF(Assumptions!$C$8&gt;0,C9/Assumptions!$C$8,0)</f>
        <v/>
      </c>
    </row>
    <row r="10" ht="24" customHeight="1">
      <c r="A10" s="49" t="n"/>
      <c r="B10" s="54" t="inlineStr">
        <is>
          <t>Renovation Income</t>
        </is>
      </c>
      <c r="C10" s="58">
        <f>'Capital Plan'!C19</f>
        <v/>
      </c>
      <c r="D10" s="58">
        <f>IF(Assumptions!$C$8&gt;0,C10/Assumptions!$C$8,0)</f>
        <v/>
      </c>
    </row>
    <row r="11" ht="24" customHeight="1">
      <c r="A11" s="49" t="n"/>
      <c r="B11" s="54" t="inlineStr">
        <is>
          <t>Other Income</t>
        </is>
      </c>
      <c r="C11" s="55" t="n">
        <v>72000</v>
      </c>
      <c r="D11" s="58">
        <f>IF(Assumptions!$C$8&gt;0,C11/Assumptions!$C$8,0)</f>
        <v/>
      </c>
    </row>
    <row r="12" ht="24" customHeight="1">
      <c r="A12" s="49" t="n"/>
      <c r="B12" s="61" t="inlineStr">
        <is>
          <t xml:space="preserve">   Less: Vacancy &amp; Credit Loss</t>
        </is>
      </c>
      <c r="C12" s="75">
        <f>-(C7+C8+C9+C10+C11)*Assumptions!C28</f>
        <v/>
      </c>
      <c r="D12" s="75">
        <f>IF(Assumptions!$C$8&gt;0,C12/Assumptions!$C$8,0)</f>
        <v/>
      </c>
    </row>
    <row r="13" ht="28" customHeight="1">
      <c r="A13" s="49" t="n"/>
      <c r="B13" s="62" t="inlineStr">
        <is>
          <t>Effective Gross Income</t>
        </is>
      </c>
      <c r="C13" s="63">
        <f>SUM(C7:C12)</f>
        <v/>
      </c>
      <c r="D13" s="63">
        <f>IF(Assumptions!$C$8&gt;0,C13/Assumptions!$C$8,0)</f>
        <v/>
      </c>
    </row>
    <row r="14" ht="12" customHeight="1">
      <c r="A14" s="49" t="n"/>
      <c r="B14" s="49" t="n"/>
      <c r="C14" s="49" t="n"/>
      <c r="D14" s="49" t="n"/>
    </row>
    <row r="15" ht="28" customHeight="1">
      <c r="A15" s="52" t="n"/>
      <c r="B15" s="53" t="inlineStr">
        <is>
          <t>OPERATING EXPENSES</t>
        </is>
      </c>
      <c r="C15" s="52" t="n"/>
      <c r="D15" s="52" t="n"/>
    </row>
    <row r="16" ht="24" customHeight="1">
      <c r="A16" s="49" t="n"/>
      <c r="B16" s="54" t="inlineStr">
        <is>
          <t>Property Taxes</t>
        </is>
      </c>
      <c r="C16" s="55" t="n">
        <v>270000</v>
      </c>
      <c r="D16" s="58">
        <f>IF(Assumptions!$C$8&gt;0,C16/Assumptions!$C$8,0)</f>
        <v/>
      </c>
    </row>
    <row r="17" ht="24" customHeight="1">
      <c r="A17" s="49" t="n"/>
      <c r="B17" s="54" t="inlineStr">
        <is>
          <t>Insurance</t>
        </is>
      </c>
      <c r="C17" s="55" t="n">
        <v>81000</v>
      </c>
      <c r="D17" s="58">
        <f>IF(Assumptions!$C$8&gt;0,C17/Assumptions!$C$8,0)</f>
        <v/>
      </c>
    </row>
    <row r="18" ht="24" customHeight="1">
      <c r="A18" s="49" t="n"/>
      <c r="B18" s="61" t="inlineStr">
        <is>
          <t xml:space="preserve">   Management Fee (4% of EGI)</t>
        </is>
      </c>
      <c r="C18" s="58">
        <f>C13*0.04</f>
        <v/>
      </c>
      <c r="D18" s="58">
        <f>IF(Assumptions!$C$8&gt;0,C18/Assumptions!$C$8,0)</f>
        <v/>
      </c>
    </row>
    <row r="19" ht="24" customHeight="1">
      <c r="A19" s="49" t="n"/>
      <c r="B19" s="54" t="inlineStr">
        <is>
          <t>Payroll / On-Site Staff</t>
        </is>
      </c>
      <c r="C19" s="55" t="n">
        <v>216000</v>
      </c>
      <c r="D19" s="58">
        <f>IF(Assumptions!$C$8&gt;0,C19/Assumptions!$C$8,0)</f>
        <v/>
      </c>
    </row>
    <row r="20" ht="24" customHeight="1">
      <c r="A20" s="49" t="n"/>
      <c r="B20" s="54" t="inlineStr">
        <is>
          <t>Repairs &amp; Maintenance</t>
        </is>
      </c>
      <c r="C20" s="55" t="n">
        <v>162000</v>
      </c>
      <c r="D20" s="58">
        <f>IF(Assumptions!$C$8&gt;0,C20/Assumptions!$C$8,0)</f>
        <v/>
      </c>
    </row>
    <row r="21" ht="24" customHeight="1">
      <c r="A21" s="49" t="n"/>
      <c r="B21" s="54" t="inlineStr">
        <is>
          <t>Turnover / Make-Ready</t>
        </is>
      </c>
      <c r="C21" s="55" t="n">
        <v>54000</v>
      </c>
      <c r="D21" s="58">
        <f>IF(Assumptions!$C$8&gt;0,C21/Assumptions!$C$8,0)</f>
        <v/>
      </c>
    </row>
    <row r="22" ht="24" customHeight="1">
      <c r="A22" s="49" t="n"/>
      <c r="B22" s="54" t="inlineStr">
        <is>
          <t>Marketing &amp; Leasing</t>
        </is>
      </c>
      <c r="C22" s="55" t="n">
        <v>27000</v>
      </c>
      <c r="D22" s="58">
        <f>IF(Assumptions!$C$8&gt;0,C22/Assumptions!$C$8,0)</f>
        <v/>
      </c>
    </row>
    <row r="23" ht="24" customHeight="1">
      <c r="A23" s="49" t="n"/>
      <c r="B23" s="54" t="inlineStr">
        <is>
          <t>Utilities</t>
        </is>
      </c>
      <c r="C23" s="55" t="n">
        <v>108000</v>
      </c>
      <c r="D23" s="58">
        <f>IF(Assumptions!$C$8&gt;0,C23/Assumptions!$C$8,0)</f>
        <v/>
      </c>
    </row>
    <row r="24" ht="24" customHeight="1">
      <c r="A24" s="49" t="n"/>
      <c r="B24" s="54" t="inlineStr">
        <is>
          <t>Administrative</t>
        </is>
      </c>
      <c r="C24" s="55" t="n">
        <v>40500</v>
      </c>
      <c r="D24" s="58">
        <f>IF(Assumptions!$C$8&gt;0,C24/Assumptions!$C$8,0)</f>
        <v/>
      </c>
    </row>
    <row r="25" ht="24" customHeight="1">
      <c r="A25" s="49" t="n"/>
      <c r="B25" s="54" t="inlineStr">
        <is>
          <t>Contract Services</t>
        </is>
      </c>
      <c r="C25" s="55" t="n">
        <v>33750</v>
      </c>
      <c r="D25" s="58">
        <f>IF(Assumptions!$C$8&gt;0,C25/Assumptions!$C$8,0)</f>
        <v/>
      </c>
    </row>
    <row r="26" ht="24" customHeight="1">
      <c r="A26" s="49" t="n"/>
      <c r="B26" s="54" t="inlineStr">
        <is>
          <t>Landscaping</t>
        </is>
      </c>
      <c r="C26" s="55" t="n">
        <v>27000</v>
      </c>
      <c r="D26" s="58">
        <f>IF(Assumptions!$C$8&gt;0,C26/Assumptions!$C$8,0)</f>
        <v/>
      </c>
    </row>
    <row r="27" ht="24" customHeight="1">
      <c r="A27" s="49" t="n"/>
      <c r="B27" s="54" t="inlineStr">
        <is>
          <t>Reserves / Other</t>
        </is>
      </c>
      <c r="C27" s="55" t="n">
        <v>56250</v>
      </c>
      <c r="D27" s="58">
        <f>IF(Assumptions!$C$8&gt;0,C27/Assumptions!$C$8,0)</f>
        <v/>
      </c>
    </row>
    <row r="28" ht="28" customHeight="1">
      <c r="A28" s="49" t="n"/>
      <c r="B28" s="62" t="inlineStr">
        <is>
          <t>Total Operating Expenses</t>
        </is>
      </c>
      <c r="C28" s="76">
        <f>-SUM(C16:C27)</f>
        <v/>
      </c>
      <c r="D28" s="76">
        <f>IF(Assumptions!$C$8&gt;0,C28/Assumptions!$C$8,0)</f>
        <v/>
      </c>
    </row>
    <row r="29" ht="12" customHeight="1">
      <c r="A29" s="49" t="n"/>
      <c r="B29" s="49" t="n"/>
      <c r="C29" s="49" t="n"/>
      <c r="D29" s="49" t="n"/>
    </row>
    <row r="30" ht="24" customHeight="1">
      <c r="A30" s="49" t="n"/>
      <c r="B30" s="54" t="inlineStr">
        <is>
          <t>Expense Ratio</t>
        </is>
      </c>
      <c r="C30" s="77">
        <f>IF(C13&lt;&gt;0,-C28/C13,0)</f>
        <v/>
      </c>
      <c r="D30" s="56" t="n"/>
    </row>
    <row r="31" ht="12" customHeight="1">
      <c r="A31" s="49" t="n"/>
      <c r="B31" s="49" t="n"/>
      <c r="C31" s="49" t="n"/>
      <c r="D31" s="49" t="n"/>
    </row>
    <row r="32" ht="32" customHeight="1">
      <c r="A32" s="78" t="n"/>
      <c r="B32" s="79" t="inlineStr">
        <is>
          <t>NET OPERATING INCOME</t>
        </is>
      </c>
      <c r="C32" s="80">
        <f>C13+C28</f>
        <v/>
      </c>
      <c r="D32" s="80">
        <f>IF(Assumptions!$C$8&gt;0,C32/Assumptions!$C$8,0)</f>
        <v/>
      </c>
    </row>
    <row r="33" ht="12" customHeight="1">
      <c r="A33" s="49" t="n"/>
      <c r="B33" s="49" t="n"/>
      <c r="C33" s="49" t="n"/>
      <c r="D33" s="49" t="n"/>
    </row>
    <row r="34" ht="28" customHeight="1">
      <c r="A34" s="52" t="n"/>
      <c r="B34" s="53" t="inlineStr">
        <is>
          <t>BELOW THE LINE</t>
        </is>
      </c>
      <c r="C34" s="52" t="n"/>
      <c r="D34" s="52" t="n"/>
    </row>
    <row r="35" ht="24" customHeight="1">
      <c r="A35" s="49" t="n"/>
      <c r="B35" s="61" t="inlineStr">
        <is>
          <t xml:space="preserve">   Less: Debt Service</t>
        </is>
      </c>
      <c r="C35" s="75">
        <f>-Assumptions!C22</f>
        <v/>
      </c>
      <c r="D35" s="75">
        <f>IF(Assumptions!$C$8&gt;0,C35/Assumptions!$C$8,0)</f>
        <v/>
      </c>
    </row>
    <row r="36" ht="24" customHeight="1">
      <c r="A36" s="49" t="n"/>
      <c r="B36" s="54" t="inlineStr">
        <is>
          <t>Less: Capital Reserves</t>
        </is>
      </c>
      <c r="C36" s="55" t="n">
        <v>-56250</v>
      </c>
      <c r="D36" s="58">
        <f>IF(Assumptions!$C$8&gt;0,C36/Assumptions!$C$8,0)</f>
        <v/>
      </c>
    </row>
    <row r="37" ht="28" customHeight="1">
      <c r="A37" s="49" t="n"/>
      <c r="B37" s="62" t="inlineStr">
        <is>
          <t>Cash Flow Before Tax</t>
        </is>
      </c>
      <c r="C37" s="63">
        <f>C32+C35+C36</f>
        <v/>
      </c>
      <c r="D37" s="63">
        <f>IF(Assumptions!$C$8&gt;0,C37/Assumptions!$C$8,0)</f>
        <v/>
      </c>
    </row>
    <row r="38" ht="12" customHeight="1">
      <c r="A38" s="49" t="n"/>
      <c r="B38" s="49" t="n"/>
      <c r="C38" s="49" t="n"/>
      <c r="D38" s="49" t="n"/>
    </row>
    <row r="39" ht="26" customHeight="1">
      <c r="A39" s="81" t="n"/>
      <c r="B39" s="82" t="inlineStr">
        <is>
          <t>YEAR 1 RETURNS</t>
        </is>
      </c>
      <c r="C39" s="81" t="n"/>
      <c r="D39" s="81" t="n"/>
    </row>
    <row r="40" ht="24" customHeight="1">
      <c r="A40" s="49" t="n"/>
      <c r="B40" s="54" t="inlineStr">
        <is>
          <t>Cash-on-Cash Return</t>
        </is>
      </c>
      <c r="C40" s="77">
        <f>IF(Assumptions!C23&gt;0,C37/Assumptions!C23,0)</f>
        <v/>
      </c>
      <c r="D40" s="56" t="n"/>
    </row>
    <row r="41" ht="24" customHeight="1">
      <c r="A41" s="49" t="n"/>
      <c r="B41" s="54" t="inlineStr">
        <is>
          <t>Entry Cap Rate</t>
        </is>
      </c>
      <c r="C41" s="83">
        <f>IF(Assumptions!C7&gt;0,C32/Assumptions!C7,0)</f>
        <v/>
      </c>
      <c r="D41" s="56" t="n"/>
    </row>
    <row r="42" ht="24" customHeight="1">
      <c r="A42" s="49" t="n"/>
      <c r="B42" s="54" t="inlineStr">
        <is>
          <t>DSCR</t>
        </is>
      </c>
      <c r="C42" s="84">
        <f>IF(Assumptions!C22&gt;0,C32/Assumptions!C22,0)</f>
        <v/>
      </c>
      <c r="D42" s="56" t="n"/>
    </row>
    <row r="44" ht="20" customHeight="1">
      <c r="A44" s="49" t="n"/>
      <c r="B44" s="49" t="n"/>
      <c r="C44" s="49" t="n"/>
      <c r="D44" s="49" t="n"/>
    </row>
    <row r="45">
      <c r="A45" s="72" t="n"/>
      <c r="B45" s="73" t="inlineStr">
        <is>
          <t>Built with PropRise Primer  |  proprise.ai</t>
        </is>
      </c>
      <c r="C45" s="72" t="n"/>
      <c r="D45" s="72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conditionalFormatting sqref="C42">
    <cfRule type="cellIs" priority="1" operator="lessThan" dxfId="0">
      <formula>1.25</formula>
    </cfRule>
  </conditionalFormatting>
  <pageMargins left="0.5" right="0.5" top="0.75" bottom="0.75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L24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4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  <col width="15" customWidth="1" min="11" max="11"/>
    <col width="15" customWidth="1" min="12" max="12"/>
  </cols>
  <sheetData>
    <row r="1" ht="8" customHeight="1">
      <c r="A1" s="49" t="n"/>
      <c r="B1" s="49" t="n"/>
      <c r="C1" s="49" t="n"/>
      <c r="D1" s="49" t="n"/>
      <c r="E1" s="49" t="n"/>
      <c r="F1" s="49" t="n"/>
      <c r="G1" s="49" t="n"/>
      <c r="H1" s="49" t="n"/>
      <c r="I1" s="49" t="n"/>
      <c r="J1" s="49" t="n"/>
      <c r="K1" s="49" t="n"/>
      <c r="L1" s="49" t="n"/>
    </row>
    <row r="2" ht="32" customHeight="1">
      <c r="A2" s="49" t="n"/>
      <c r="B2" s="50" t="inlineStr">
        <is>
          <t>10-Year Cash Flow Projection</t>
        </is>
      </c>
      <c r="C2" s="49" t="n"/>
      <c r="D2" s="49" t="n"/>
      <c r="E2" s="49" t="n"/>
      <c r="F2" s="49" t="n"/>
      <c r="G2" s="49" t="n"/>
      <c r="H2" s="49" t="n"/>
      <c r="I2" s="49" t="n"/>
      <c r="J2" s="49" t="n"/>
      <c r="K2" s="49" t="n"/>
      <c r="L2" s="49" t="n"/>
    </row>
    <row r="3" ht="18" customHeight="1">
      <c r="A3" s="49" t="n"/>
      <c r="B3" s="51" t="inlineStr">
        <is>
          <t>PropRise Primer Template</t>
        </is>
      </c>
      <c r="C3" s="49" t="n"/>
      <c r="D3" s="49" t="n"/>
      <c r="E3" s="49" t="n"/>
      <c r="F3" s="49" t="n"/>
      <c r="G3" s="49" t="n"/>
      <c r="H3" s="49" t="n"/>
      <c r="I3" s="49" t="n"/>
      <c r="J3" s="49" t="n"/>
      <c r="K3" s="49" t="n"/>
      <c r="L3" s="49" t="n"/>
    </row>
    <row r="4">
      <c r="A4" s="49" t="n"/>
      <c r="B4" s="49" t="n"/>
      <c r="C4" s="49" t="n"/>
      <c r="D4" s="49" t="n"/>
      <c r="E4" s="49" t="n"/>
      <c r="F4" s="49" t="n"/>
      <c r="G4" s="49" t="n"/>
      <c r="H4" s="49" t="n"/>
      <c r="I4" s="49" t="n"/>
      <c r="J4" s="49" t="n"/>
      <c r="K4" s="49" t="n"/>
      <c r="L4" s="49" t="n"/>
    </row>
    <row r="5" ht="28" customHeight="1">
      <c r="A5" s="52" t="n"/>
      <c r="B5" s="52" t="n"/>
      <c r="C5" s="85" t="inlineStr">
        <is>
          <t>Year 1</t>
        </is>
      </c>
      <c r="D5" s="85" t="inlineStr">
        <is>
          <t>Year 2</t>
        </is>
      </c>
      <c r="E5" s="85" t="inlineStr">
        <is>
          <t>Year 3</t>
        </is>
      </c>
      <c r="F5" s="85" t="inlineStr">
        <is>
          <t>Year 4</t>
        </is>
      </c>
      <c r="G5" s="85" t="inlineStr">
        <is>
          <t>Year 5</t>
        </is>
      </c>
      <c r="H5" s="85" t="inlineStr">
        <is>
          <t>Year 6</t>
        </is>
      </c>
      <c r="I5" s="85" t="inlineStr">
        <is>
          <t>Year 7</t>
        </is>
      </c>
      <c r="J5" s="85" t="inlineStr">
        <is>
          <t>Year 8</t>
        </is>
      </c>
      <c r="K5" s="85" t="inlineStr">
        <is>
          <t>Year 9</t>
        </is>
      </c>
      <c r="L5" s="85" t="inlineStr">
        <is>
          <t>Year 10</t>
        </is>
      </c>
    </row>
    <row r="7" ht="22" customHeight="1">
      <c r="A7" s="49" t="n"/>
      <c r="B7" s="6" t="inlineStr">
        <is>
          <t>Gross Potential Rent (Market)</t>
        </is>
      </c>
      <c r="C7" s="86">
        <f>'Year 1 Pro Forma'!C7</f>
        <v/>
      </c>
      <c r="D7" s="86">
        <f>C7*(1+Assumptions!$C$26)</f>
        <v/>
      </c>
      <c r="E7" s="86">
        <f>D7*(1+Assumptions!$C$26)</f>
        <v/>
      </c>
      <c r="F7" s="86">
        <f>E7*(1+Assumptions!$C$26)</f>
        <v/>
      </c>
      <c r="G7" s="86">
        <f>F7*(1+Assumptions!$C$26)</f>
        <v/>
      </c>
      <c r="H7" s="86">
        <f>G7*(1+Assumptions!$C$26)</f>
        <v/>
      </c>
      <c r="I7" s="86">
        <f>H7*(1+Assumptions!$C$26)</f>
        <v/>
      </c>
      <c r="J7" s="86">
        <f>I7*(1+Assumptions!$C$26)</f>
        <v/>
      </c>
      <c r="K7" s="86">
        <f>J7*(1+Assumptions!$C$26)</f>
        <v/>
      </c>
      <c r="L7" s="86">
        <f>K7*(1+Assumptions!$C$26)</f>
        <v/>
      </c>
    </row>
    <row r="8" ht="22" customHeight="1">
      <c r="A8" s="49" t="n"/>
      <c r="B8" s="51" t="inlineStr">
        <is>
          <t xml:space="preserve">   Less: Loss to Lease</t>
        </is>
      </c>
      <c r="C8" s="87">
        <f>'Year 1 Pro Forma'!C8</f>
        <v/>
      </c>
      <c r="D8" s="87">
        <f>C8*0.5</f>
        <v/>
      </c>
      <c r="E8" s="86" t="n">
        <v>0</v>
      </c>
      <c r="F8" s="86" t="n">
        <v>0</v>
      </c>
      <c r="G8" s="86" t="n">
        <v>0</v>
      </c>
      <c r="H8" s="86" t="n">
        <v>0</v>
      </c>
      <c r="I8" s="86" t="n">
        <v>0</v>
      </c>
      <c r="J8" s="86" t="n">
        <v>0</v>
      </c>
      <c r="K8" s="86" t="n">
        <v>0</v>
      </c>
      <c r="L8" s="86" t="n">
        <v>0</v>
      </c>
    </row>
    <row r="9" ht="22" customHeight="1">
      <c r="A9" s="49" t="n"/>
      <c r="B9" s="51" t="inlineStr">
        <is>
          <t xml:space="preserve">   Less: Concessions</t>
        </is>
      </c>
      <c r="C9" s="87">
        <f>'Year 1 Pro Forma'!C9</f>
        <v/>
      </c>
      <c r="D9" s="87">
        <f>C9*0.5</f>
        <v/>
      </c>
      <c r="E9" s="86" t="n">
        <v>0</v>
      </c>
      <c r="F9" s="86" t="n">
        <v>0</v>
      </c>
      <c r="G9" s="86" t="n">
        <v>0</v>
      </c>
      <c r="H9" s="86" t="n">
        <v>0</v>
      </c>
      <c r="I9" s="86" t="n">
        <v>0</v>
      </c>
      <c r="J9" s="86" t="n">
        <v>0</v>
      </c>
      <c r="K9" s="86" t="n">
        <v>0</v>
      </c>
      <c r="L9" s="86" t="n">
        <v>0</v>
      </c>
    </row>
    <row r="10" ht="22" customHeight="1">
      <c r="A10" s="49" t="n"/>
      <c r="B10" s="6" t="inlineStr">
        <is>
          <t>Renovation Income</t>
        </is>
      </c>
      <c r="C10" s="86">
        <f>'Capital Plan'!C19</f>
        <v/>
      </c>
      <c r="D10" s="86">
        <f>'Capital Plan'!C20</f>
        <v/>
      </c>
      <c r="E10" s="86">
        <f>'Capital Plan'!C21</f>
        <v/>
      </c>
      <c r="F10" s="86">
        <f>'Capital Plan'!C21</f>
        <v/>
      </c>
      <c r="G10" s="86">
        <f>'Capital Plan'!C21</f>
        <v/>
      </c>
      <c r="H10" s="86">
        <f>'Capital Plan'!C21</f>
        <v/>
      </c>
      <c r="I10" s="86">
        <f>'Capital Plan'!C21</f>
        <v/>
      </c>
      <c r="J10" s="86">
        <f>'Capital Plan'!C21</f>
        <v/>
      </c>
      <c r="K10" s="86">
        <f>'Capital Plan'!C21</f>
        <v/>
      </c>
      <c r="L10" s="86">
        <f>'Capital Plan'!C21</f>
        <v/>
      </c>
    </row>
    <row r="11" ht="22" customHeight="1">
      <c r="A11" s="49" t="n"/>
      <c r="B11" s="6" t="inlineStr">
        <is>
          <t>Other Income</t>
        </is>
      </c>
      <c r="C11" s="86">
        <f>'Year 1 Pro Forma'!C11</f>
        <v/>
      </c>
      <c r="D11" s="86">
        <f>C11*(1+Assumptions!$C$26)</f>
        <v/>
      </c>
      <c r="E11" s="86">
        <f>D11*(1+Assumptions!$C$26)</f>
        <v/>
      </c>
      <c r="F11" s="86">
        <f>E11*(1+Assumptions!$C$26)</f>
        <v/>
      </c>
      <c r="G11" s="86">
        <f>F11*(1+Assumptions!$C$26)</f>
        <v/>
      </c>
      <c r="H11" s="86">
        <f>G11*(1+Assumptions!$C$26)</f>
        <v/>
      </c>
      <c r="I11" s="86">
        <f>H11*(1+Assumptions!$C$26)</f>
        <v/>
      </c>
      <c r="J11" s="86">
        <f>I11*(1+Assumptions!$C$26)</f>
        <v/>
      </c>
      <c r="K11" s="86">
        <f>J11*(1+Assumptions!$C$26)</f>
        <v/>
      </c>
      <c r="L11" s="86">
        <f>K11*(1+Assumptions!$C$26)</f>
        <v/>
      </c>
    </row>
    <row r="12" ht="22" customHeight="1">
      <c r="A12" s="49" t="n"/>
      <c r="B12" s="51" t="inlineStr">
        <is>
          <t xml:space="preserve">   Less: Vacancy &amp; Credit Loss</t>
        </is>
      </c>
      <c r="C12" s="87">
        <f>-(C7+C8+C9+C10+C11)*Assumptions!$C$28</f>
        <v/>
      </c>
      <c r="D12" s="87">
        <f>-(D7+D8+D9+D10+D11)*Assumptions!$C$28</f>
        <v/>
      </c>
      <c r="E12" s="87">
        <f>-(E7+E8+E9+E10+E11)*Assumptions!$C$28</f>
        <v/>
      </c>
      <c r="F12" s="87">
        <f>-(F7+F8+F9+F10+F11)*Assumptions!$C$28</f>
        <v/>
      </c>
      <c r="G12" s="87">
        <f>-(G7+G8+G9+G10+G11)*Assumptions!$C$28</f>
        <v/>
      </c>
      <c r="H12" s="87">
        <f>-(H7+H8+H9+H10+H11)*Assumptions!$C$28</f>
        <v/>
      </c>
      <c r="I12" s="87">
        <f>-(I7+I8+I9+I10+I11)*Assumptions!$C$28</f>
        <v/>
      </c>
      <c r="J12" s="87">
        <f>-(J7+J8+J9+J10+J11)*Assumptions!$C$28</f>
        <v/>
      </c>
      <c r="K12" s="87">
        <f>-(K7+K8+K9+K10+K11)*Assumptions!$C$28</f>
        <v/>
      </c>
      <c r="L12" s="87">
        <f>-(L7+L8+L9+L10+L11)*Assumptions!$C$28</f>
        <v/>
      </c>
    </row>
    <row r="13" ht="24" customHeight="1">
      <c r="A13" s="49" t="n"/>
      <c r="B13" s="88" t="inlineStr">
        <is>
          <t>Effective Gross Income</t>
        </is>
      </c>
      <c r="C13" s="89">
        <f>SUM(C7:C12)</f>
        <v/>
      </c>
      <c r="D13" s="89">
        <f>SUM(D7:D12)</f>
        <v/>
      </c>
      <c r="E13" s="89">
        <f>SUM(E7:E12)</f>
        <v/>
      </c>
      <c r="F13" s="89">
        <f>SUM(F7:F12)</f>
        <v/>
      </c>
      <c r="G13" s="89">
        <f>SUM(G7:G12)</f>
        <v/>
      </c>
      <c r="H13" s="89">
        <f>SUM(H7:H12)</f>
        <v/>
      </c>
      <c r="I13" s="89">
        <f>SUM(I7:I12)</f>
        <v/>
      </c>
      <c r="J13" s="89">
        <f>SUM(J7:J12)</f>
        <v/>
      </c>
      <c r="K13" s="89">
        <f>SUM(K7:K12)</f>
        <v/>
      </c>
      <c r="L13" s="89">
        <f>SUM(L7:L12)</f>
        <v/>
      </c>
    </row>
    <row r="14" ht="8" customHeight="1">
      <c r="A14" s="49" t="n"/>
      <c r="B14" s="49" t="n"/>
      <c r="C14" s="49" t="n"/>
      <c r="D14" s="49" t="n"/>
      <c r="E14" s="49" t="n"/>
      <c r="F14" s="49" t="n"/>
      <c r="G14" s="49" t="n"/>
      <c r="H14" s="49" t="n"/>
      <c r="I14" s="49" t="n"/>
      <c r="J14" s="49" t="n"/>
      <c r="K14" s="49" t="n"/>
      <c r="L14" s="49" t="n"/>
    </row>
    <row r="15" ht="22" customHeight="1">
      <c r="A15" s="49" t="n"/>
      <c r="B15" s="6" t="inlineStr">
        <is>
          <t>Total Operating Expenses</t>
        </is>
      </c>
      <c r="C15" s="87">
        <f>'Year 1 Pro Forma'!C28</f>
        <v/>
      </c>
      <c r="D15" s="87">
        <f>C15*(1+Assumptions!$C$27)</f>
        <v/>
      </c>
      <c r="E15" s="87">
        <f>D15*(1+Assumptions!$C$27)</f>
        <v/>
      </c>
      <c r="F15" s="87">
        <f>E15*(1+Assumptions!$C$27)</f>
        <v/>
      </c>
      <c r="G15" s="87">
        <f>F15*(1+Assumptions!$C$27)</f>
        <v/>
      </c>
      <c r="H15" s="87">
        <f>G15*(1+Assumptions!$C$27)</f>
        <v/>
      </c>
      <c r="I15" s="87">
        <f>H15*(1+Assumptions!$C$27)</f>
        <v/>
      </c>
      <c r="J15" s="87">
        <f>I15*(1+Assumptions!$C$27)</f>
        <v/>
      </c>
      <c r="K15" s="87">
        <f>J15*(1+Assumptions!$C$27)</f>
        <v/>
      </c>
      <c r="L15" s="87">
        <f>K15*(1+Assumptions!$C$27)</f>
        <v/>
      </c>
    </row>
    <row r="16" ht="8" customHeight="1">
      <c r="A16" s="49" t="n"/>
      <c r="B16" s="49" t="n"/>
      <c r="C16" s="49" t="n"/>
      <c r="D16" s="49" t="n"/>
      <c r="E16" s="49" t="n"/>
      <c r="F16" s="49" t="n"/>
      <c r="G16" s="49" t="n"/>
      <c r="H16" s="49" t="n"/>
      <c r="I16" s="49" t="n"/>
      <c r="J16" s="49" t="n"/>
      <c r="K16" s="49" t="n"/>
      <c r="L16" s="49" t="n"/>
    </row>
    <row r="17" ht="32" customHeight="1">
      <c r="A17" s="78" t="n"/>
      <c r="B17" s="90" t="inlineStr">
        <is>
          <t>NET OPERATING INCOME</t>
        </is>
      </c>
      <c r="C17" s="91">
        <f>C13+C15</f>
        <v/>
      </c>
      <c r="D17" s="91">
        <f>D13+D15</f>
        <v/>
      </c>
      <c r="E17" s="91">
        <f>E13+E15</f>
        <v/>
      </c>
      <c r="F17" s="91">
        <f>F13+F15</f>
        <v/>
      </c>
      <c r="G17" s="91">
        <f>G13+G15</f>
        <v/>
      </c>
      <c r="H17" s="91">
        <f>H13+H15</f>
        <v/>
      </c>
      <c r="I17" s="91">
        <f>I13+I15</f>
        <v/>
      </c>
      <c r="J17" s="91">
        <f>J13+J15</f>
        <v/>
      </c>
      <c r="K17" s="91">
        <f>K13+K15</f>
        <v/>
      </c>
      <c r="L17" s="91">
        <f>L13+L15</f>
        <v/>
      </c>
    </row>
    <row r="18" ht="8" customHeight="1">
      <c r="A18" s="49" t="n"/>
      <c r="B18" s="49" t="n"/>
      <c r="C18" s="49" t="n"/>
      <c r="D18" s="49" t="n"/>
      <c r="E18" s="49" t="n"/>
      <c r="F18" s="49" t="n"/>
      <c r="G18" s="49" t="n"/>
      <c r="H18" s="49" t="n"/>
      <c r="I18" s="49" t="n"/>
      <c r="J18" s="49" t="n"/>
      <c r="K18" s="49" t="n"/>
      <c r="L18" s="49" t="n"/>
    </row>
    <row r="19" ht="22" customHeight="1">
      <c r="A19" s="49" t="n"/>
      <c r="B19" s="51" t="inlineStr">
        <is>
          <t xml:space="preserve">   Less: Debt Service</t>
        </is>
      </c>
      <c r="C19" s="87">
        <f>-Assumptions!C42</f>
        <v/>
      </c>
      <c r="D19" s="87">
        <f>-Assumptions!D42</f>
        <v/>
      </c>
      <c r="E19" s="87">
        <f>-Assumptions!E42</f>
        <v/>
      </c>
      <c r="F19" s="87">
        <f>-Assumptions!F42</f>
        <v/>
      </c>
      <c r="G19" s="87">
        <f>-Assumptions!G42</f>
        <v/>
      </c>
      <c r="H19" s="87">
        <f>-Assumptions!H42</f>
        <v/>
      </c>
      <c r="I19" s="87">
        <f>-Assumptions!I42</f>
        <v/>
      </c>
      <c r="J19" s="87">
        <f>-Assumptions!J42</f>
        <v/>
      </c>
      <c r="K19" s="87">
        <f>-Assumptions!K42</f>
        <v/>
      </c>
      <c r="L19" s="87">
        <f>-Assumptions!L42</f>
        <v/>
      </c>
    </row>
    <row r="20" ht="32" customHeight="1">
      <c r="A20" s="78" t="n"/>
      <c r="B20" s="90" t="inlineStr">
        <is>
          <t>CASH FLOW BEFORE TAX</t>
        </is>
      </c>
      <c r="C20" s="91">
        <f>C17+C19</f>
        <v/>
      </c>
      <c r="D20" s="91">
        <f>D17+D19</f>
        <v/>
      </c>
      <c r="E20" s="91">
        <f>E17+E19</f>
        <v/>
      </c>
      <c r="F20" s="91">
        <f>F17+F19</f>
        <v/>
      </c>
      <c r="G20" s="91">
        <f>G17+G19</f>
        <v/>
      </c>
      <c r="H20" s="91">
        <f>H17+H19</f>
        <v/>
      </c>
      <c r="I20" s="91">
        <f>I17+I19</f>
        <v/>
      </c>
      <c r="J20" s="91">
        <f>J17+J19</f>
        <v/>
      </c>
      <c r="K20" s="91">
        <f>K17+K19</f>
        <v/>
      </c>
      <c r="L20" s="91">
        <f>L17+L19</f>
        <v/>
      </c>
    </row>
    <row r="21" ht="8" customHeight="1">
      <c r="A21" s="49" t="n"/>
      <c r="B21" s="49" t="n"/>
      <c r="C21" s="49" t="n"/>
      <c r="D21" s="49" t="n"/>
      <c r="E21" s="49" t="n"/>
      <c r="F21" s="49" t="n"/>
      <c r="G21" s="49" t="n"/>
      <c r="H21" s="49" t="n"/>
      <c r="I21" s="49" t="n"/>
      <c r="J21" s="49" t="n"/>
      <c r="K21" s="49" t="n"/>
      <c r="L21" s="49" t="n"/>
    </row>
    <row r="22" ht="22" customHeight="1">
      <c r="A22" s="49" t="n"/>
      <c r="B22" s="6" t="inlineStr">
        <is>
          <t>Cumulative Cash Flow</t>
        </is>
      </c>
      <c r="C22" s="86">
        <f>C20</f>
        <v/>
      </c>
      <c r="D22" s="86">
        <f>C22+D20</f>
        <v/>
      </c>
      <c r="E22" s="86">
        <f>D22+E20</f>
        <v/>
      </c>
      <c r="F22" s="86">
        <f>E22+F20</f>
        <v/>
      </c>
      <c r="G22" s="86">
        <f>F22+G20</f>
        <v/>
      </c>
      <c r="H22" s="86">
        <f>G22+H20</f>
        <v/>
      </c>
      <c r="I22" s="86">
        <f>H22+I20</f>
        <v/>
      </c>
      <c r="J22" s="86">
        <f>I22+J20</f>
        <v/>
      </c>
      <c r="K22" s="86">
        <f>J22+K20</f>
        <v/>
      </c>
      <c r="L22" s="86">
        <f>K22+L20</f>
        <v/>
      </c>
    </row>
    <row r="24">
      <c r="A24" s="72" t="n"/>
      <c r="B24" s="73" t="inlineStr">
        <is>
          <t>Built with PropRise Primer  |  proprise.ai</t>
        </is>
      </c>
      <c r="C24" s="72" t="n"/>
      <c r="D24" s="72" t="n"/>
      <c r="E24" s="72" t="n"/>
      <c r="F24" s="72" t="n"/>
      <c r="G24" s="72" t="n"/>
      <c r="H24" s="72" t="n"/>
      <c r="I24" s="72" t="n"/>
      <c r="J24" s="72" t="n"/>
      <c r="K24" s="72" t="n"/>
      <c r="L24" s="72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5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4" customWidth="1" min="2" max="2"/>
    <col width="17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  <col width="15" customWidth="1" min="11" max="11"/>
  </cols>
  <sheetData>
    <row r="1" ht="8" customHeight="1">
      <c r="A1" s="49" t="n"/>
      <c r="B1" s="49" t="n"/>
      <c r="C1" s="49" t="n"/>
      <c r="D1" s="49" t="n"/>
      <c r="E1" s="49" t="n"/>
      <c r="F1" s="49" t="n"/>
      <c r="G1" s="49" t="n"/>
      <c r="H1" s="49" t="n"/>
      <c r="I1" s="49" t="n"/>
    </row>
    <row r="2" ht="32" customHeight="1">
      <c r="A2" s="49" t="n"/>
      <c r="B2" s="50" t="inlineStr">
        <is>
          <t>Investment Returns</t>
        </is>
      </c>
      <c r="C2" s="49" t="n"/>
      <c r="D2" s="49" t="n"/>
      <c r="E2" s="49" t="n"/>
      <c r="F2" s="49" t="n"/>
      <c r="G2" s="49" t="n"/>
      <c r="H2" s="49" t="n"/>
      <c r="I2" s="49" t="n"/>
    </row>
    <row r="3" ht="18" customHeight="1">
      <c r="A3" s="49" t="n"/>
      <c r="B3" s="51" t="inlineStr">
        <is>
          <t>PropRise Primer Template</t>
        </is>
      </c>
      <c r="C3" s="49" t="n"/>
      <c r="D3" s="49" t="n"/>
      <c r="E3" s="49" t="n"/>
      <c r="F3" s="49" t="n"/>
      <c r="G3" s="49" t="n"/>
      <c r="H3" s="49" t="n"/>
      <c r="I3" s="49" t="n"/>
    </row>
    <row r="4">
      <c r="A4" s="49" t="n"/>
      <c r="B4" s="49" t="n"/>
      <c r="C4" s="49" t="n"/>
      <c r="D4" s="49" t="n"/>
      <c r="E4" s="49" t="n"/>
      <c r="F4" s="49" t="n"/>
      <c r="G4" s="49" t="n"/>
      <c r="H4" s="49" t="n"/>
      <c r="I4" s="49" t="n"/>
    </row>
    <row r="5" ht="12" customHeight="1">
      <c r="A5" s="49" t="n"/>
      <c r="B5" s="49" t="n"/>
      <c r="C5" s="49" t="n"/>
      <c r="D5" s="49" t="n"/>
      <c r="E5" s="49" t="n"/>
      <c r="F5" s="49" t="n"/>
      <c r="G5" s="49" t="n"/>
      <c r="H5" s="49" t="n"/>
      <c r="I5" s="49" t="n"/>
    </row>
    <row r="6" ht="28" customHeight="1">
      <c r="A6" s="52" t="n"/>
      <c r="B6" s="53" t="inlineStr">
        <is>
          <t>INVESTMENT SUMMARY</t>
        </is>
      </c>
      <c r="C6" s="52" t="n"/>
      <c r="D6" s="52" t="n"/>
      <c r="E6" s="52" t="n"/>
      <c r="F6" s="52" t="n"/>
      <c r="G6" s="52" t="n"/>
      <c r="H6" s="52" t="n"/>
      <c r="I6" s="52" t="n"/>
    </row>
    <row r="7" ht="24" customHeight="1">
      <c r="A7" s="49" t="n"/>
      <c r="B7" s="54" t="inlineStr">
        <is>
          <t>Total Equity Invested</t>
        </is>
      </c>
      <c r="C7" s="58">
        <f>Assumptions!C23</f>
        <v/>
      </c>
      <c r="D7" s="56" t="n"/>
      <c r="E7" s="49" t="n"/>
      <c r="F7" s="49" t="n"/>
      <c r="G7" s="49" t="n"/>
      <c r="H7" s="49" t="n"/>
      <c r="I7" s="49" t="n"/>
    </row>
    <row r="8" ht="24" customHeight="1">
      <c r="A8" s="49" t="n"/>
      <c r="B8" s="54" t="inlineStr">
        <is>
          <t>Hold Period (Years)</t>
        </is>
      </c>
      <c r="C8" s="57">
        <f>Assumptions!C31</f>
        <v/>
      </c>
      <c r="D8" s="56" t="n"/>
      <c r="E8" s="49" t="n"/>
      <c r="F8" s="49" t="n"/>
      <c r="G8" s="49" t="n"/>
      <c r="H8" s="49" t="n"/>
      <c r="I8" s="49" t="n"/>
    </row>
    <row r="9" ht="24" customHeight="1">
      <c r="A9" s="49" t="n"/>
      <c r="B9" s="54" t="inlineStr">
        <is>
          <t>Entry Cap Rate</t>
        </is>
      </c>
      <c r="C9" s="83">
        <f>'Year 1 Pro Forma'!C41</f>
        <v/>
      </c>
      <c r="D9" s="56" t="n"/>
      <c r="E9" s="49" t="n"/>
      <c r="F9" s="49" t="n"/>
      <c r="G9" s="49" t="n"/>
      <c r="H9" s="49" t="n"/>
      <c r="I9" s="49" t="n"/>
    </row>
    <row r="10" ht="24" customHeight="1">
      <c r="A10" s="49" t="n"/>
      <c r="B10" s="54" t="inlineStr">
        <is>
          <t>Exit Cap Rate</t>
        </is>
      </c>
      <c r="C10" s="83">
        <f>Assumptions!C32</f>
        <v/>
      </c>
      <c r="D10" s="56" t="n"/>
      <c r="E10" s="49" t="n"/>
      <c r="F10" s="49" t="n"/>
      <c r="G10" s="49" t="n"/>
      <c r="H10" s="49" t="n"/>
      <c r="I10" s="49" t="n"/>
    </row>
    <row r="11" ht="12" customHeight="1">
      <c r="A11" s="49" t="n"/>
      <c r="B11" s="49" t="n"/>
      <c r="C11" s="49" t="n"/>
      <c r="D11" s="49" t="n"/>
      <c r="E11" s="49" t="n"/>
      <c r="F11" s="49" t="n"/>
      <c r="G11" s="49" t="n"/>
      <c r="H11" s="49" t="n"/>
      <c r="I11" s="49" t="n"/>
    </row>
    <row r="12" ht="28" customHeight="1">
      <c r="A12" s="52" t="n"/>
      <c r="B12" s="53" t="inlineStr">
        <is>
          <t>EXIT ANALYSIS</t>
        </is>
      </c>
      <c r="C12" s="52" t="n"/>
      <c r="D12" s="52" t="n"/>
      <c r="E12" s="52" t="n"/>
      <c r="F12" s="52" t="n"/>
      <c r="G12" s="52" t="n"/>
      <c r="H12" s="52" t="n"/>
      <c r="I12" s="52" t="n"/>
    </row>
    <row r="13" ht="24" customHeight="1">
      <c r="A13" s="49" t="n"/>
      <c r="B13" s="54" t="inlineStr">
        <is>
          <t>Exit Year NOI</t>
        </is>
      </c>
      <c r="C13" s="58">
        <f>CHOOSE(Assumptions!C31,'10-Year Projection'!C17,'10-Year Projection'!D17,'10-Year Projection'!E17,'10-Year Projection'!F17,'10-Year Projection'!G17,'10-Year Projection'!H17,'10-Year Projection'!I17,'10-Year Projection'!J17,'10-Year Projection'!K17,'10-Year Projection'!L17)</f>
        <v/>
      </c>
      <c r="D13" s="56" t="n"/>
      <c r="E13" s="49" t="n"/>
      <c r="F13" s="49" t="n"/>
      <c r="G13" s="49" t="n"/>
      <c r="H13" s="49" t="n"/>
      <c r="I13" s="49" t="n"/>
    </row>
    <row r="14" ht="24" customHeight="1">
      <c r="A14" s="49" t="n"/>
      <c r="B14" s="54" t="inlineStr">
        <is>
          <t>Sale Price (NOI / Exit Cap)</t>
        </is>
      </c>
      <c r="C14" s="58">
        <f>C13/Assumptions!C32</f>
        <v/>
      </c>
      <c r="D14" s="56" t="n"/>
      <c r="E14" s="49" t="n"/>
      <c r="F14" s="49" t="n"/>
      <c r="G14" s="49" t="n"/>
      <c r="H14" s="49" t="n"/>
      <c r="I14" s="49" t="n"/>
    </row>
    <row r="15" ht="24" customHeight="1">
      <c r="A15" s="49" t="n"/>
      <c r="B15" s="61" t="inlineStr">
        <is>
          <t xml:space="preserve">   Less: Disposition Costs</t>
        </is>
      </c>
      <c r="C15" s="75">
        <f>-C14*Assumptions!C33</f>
        <v/>
      </c>
      <c r="D15" s="56" t="n"/>
      <c r="E15" s="49" t="n"/>
      <c r="F15" s="49" t="n"/>
      <c r="G15" s="49" t="n"/>
      <c r="H15" s="49" t="n"/>
      <c r="I15" s="49" t="n"/>
    </row>
    <row r="16" ht="24" customHeight="1">
      <c r="A16" s="49" t="n"/>
      <c r="B16" s="61" t="inlineStr">
        <is>
          <t xml:space="preserve">   Less: Loan Payoff</t>
        </is>
      </c>
      <c r="C16" s="75">
        <f>-CHOOSE(Assumptions!C31,Assumptions!C41,Assumptions!D41,Assumptions!E41,Assumptions!F41,Assumptions!G41,Assumptions!H41,Assumptions!I41,Assumptions!J41,Assumptions!K41,Assumptions!L41)</f>
        <v/>
      </c>
      <c r="D16" s="56" t="n"/>
      <c r="E16" s="49" t="n"/>
      <c r="F16" s="49" t="n"/>
      <c r="G16" s="49" t="n"/>
      <c r="H16" s="49" t="n"/>
      <c r="I16" s="49" t="n"/>
    </row>
    <row r="17" ht="28" customHeight="1">
      <c r="A17" s="49" t="n"/>
      <c r="B17" s="62" t="inlineStr">
        <is>
          <t>Net Sale Proceeds</t>
        </is>
      </c>
      <c r="C17" s="63">
        <f>C14+C15+C16</f>
        <v/>
      </c>
      <c r="D17" s="64" t="n"/>
      <c r="E17" s="49" t="n"/>
      <c r="F17" s="49" t="n"/>
      <c r="G17" s="49" t="n"/>
      <c r="H17" s="49" t="n"/>
      <c r="I17" s="49" t="n"/>
    </row>
    <row r="18" ht="12" customHeight="1">
      <c r="A18" s="49" t="n"/>
      <c r="B18" s="49" t="n"/>
      <c r="C18" s="49" t="n"/>
      <c r="D18" s="49" t="n"/>
      <c r="E18" s="49" t="n"/>
      <c r="F18" s="49" t="n"/>
      <c r="G18" s="49" t="n"/>
      <c r="H18" s="49" t="n"/>
      <c r="I18" s="49" t="n"/>
    </row>
    <row r="19" ht="28" customHeight="1">
      <c r="A19" s="52" t="n"/>
      <c r="B19" s="53" t="inlineStr">
        <is>
          <t>LEVERED CASH FLOWS</t>
        </is>
      </c>
      <c r="C19" s="52" t="n"/>
      <c r="D19" s="52" t="n"/>
      <c r="E19" s="52" t="n"/>
      <c r="F19" s="52" t="n"/>
      <c r="G19" s="52" t="n"/>
      <c r="H19" s="52" t="n"/>
      <c r="I19" s="52" t="n"/>
    </row>
    <row r="20" ht="20" customHeight="1">
      <c r="A20" s="49" t="n"/>
      <c r="B20" s="49" t="inlineStr"/>
      <c r="C20" s="92" t="inlineStr">
        <is>
          <t>Year 0</t>
        </is>
      </c>
      <c r="D20" s="92" t="inlineStr">
        <is>
          <t>Year 1</t>
        </is>
      </c>
      <c r="E20" s="92" t="inlineStr">
        <is>
          <t>Year 2</t>
        </is>
      </c>
      <c r="F20" s="92" t="inlineStr">
        <is>
          <t>Year 3</t>
        </is>
      </c>
      <c r="G20" s="92" t="inlineStr">
        <is>
          <t>Year 4</t>
        </is>
      </c>
      <c r="H20" s="92" t="inlineStr">
        <is>
          <t>Year 5</t>
        </is>
      </c>
      <c r="I20" s="49" t="n"/>
    </row>
    <row r="21" ht="22" customHeight="1">
      <c r="A21" s="49" t="n"/>
      <c r="B21" s="6" t="inlineStr">
        <is>
          <t>Equity Invested</t>
        </is>
      </c>
      <c r="C21" s="87">
        <f>-Assumptions!C23</f>
        <v/>
      </c>
      <c r="D21" s="86" t="n">
        <v>0</v>
      </c>
      <c r="E21" s="86" t="n">
        <v>0</v>
      </c>
      <c r="F21" s="86" t="n">
        <v>0</v>
      </c>
      <c r="G21" s="86" t="n">
        <v>0</v>
      </c>
      <c r="H21" s="86" t="n">
        <v>0</v>
      </c>
      <c r="I21" s="49" t="n"/>
    </row>
    <row r="22" ht="22" customHeight="1">
      <c r="A22" s="49" t="n"/>
      <c r="B22" s="6" t="inlineStr">
        <is>
          <t>Operating Cash Flow</t>
        </is>
      </c>
      <c r="C22" s="86" t="n">
        <v>0</v>
      </c>
      <c r="D22" s="86">
        <f>'10-Year Projection'!C20</f>
        <v/>
      </c>
      <c r="E22" s="86">
        <f>'10-Year Projection'!D20</f>
        <v/>
      </c>
      <c r="F22" s="86">
        <f>'10-Year Projection'!E20</f>
        <v/>
      </c>
      <c r="G22" s="86">
        <f>'10-Year Projection'!F20</f>
        <v/>
      </c>
      <c r="H22" s="86">
        <f>'10-Year Projection'!G20</f>
        <v/>
      </c>
      <c r="I22" s="49" t="n"/>
    </row>
    <row r="23" ht="22" customHeight="1">
      <c r="A23" s="49" t="n"/>
      <c r="B23" s="6" t="inlineStr">
        <is>
          <t>Net Sale Proceeds</t>
        </is>
      </c>
      <c r="C23" s="86" t="n">
        <v>0</v>
      </c>
      <c r="D23" s="86" t="n">
        <v>0</v>
      </c>
      <c r="E23" s="86" t="n">
        <v>0</v>
      </c>
      <c r="F23" s="86" t="n">
        <v>0</v>
      </c>
      <c r="G23" s="86" t="n">
        <v>0</v>
      </c>
      <c r="H23" s="86">
        <f>C17</f>
        <v/>
      </c>
      <c r="I23" s="49" t="n"/>
    </row>
    <row r="24" ht="24" customHeight="1">
      <c r="A24" s="49" t="n"/>
      <c r="B24" s="88" t="inlineStr">
        <is>
          <t>Total Cash Flow</t>
        </is>
      </c>
      <c r="C24" s="89">
        <f>C21+C22+C23</f>
        <v/>
      </c>
      <c r="D24" s="89">
        <f>D21+D22+D23</f>
        <v/>
      </c>
      <c r="E24" s="89">
        <f>E21+E22+E23</f>
        <v/>
      </c>
      <c r="F24" s="89">
        <f>F21+F22+F23</f>
        <v/>
      </c>
      <c r="G24" s="89">
        <f>G21+G22+G23</f>
        <v/>
      </c>
      <c r="H24" s="89">
        <f>H21+H22+H23</f>
        <v/>
      </c>
      <c r="I24" s="49" t="n"/>
    </row>
    <row r="25" ht="12" customHeight="1">
      <c r="A25" s="49" t="n"/>
      <c r="B25" s="49" t="n"/>
      <c r="C25" s="49" t="n"/>
      <c r="D25" s="49" t="n"/>
      <c r="E25" s="49" t="n"/>
      <c r="F25" s="49" t="n"/>
      <c r="G25" s="49" t="n"/>
      <c r="H25" s="49" t="n"/>
      <c r="I25" s="49" t="n"/>
    </row>
    <row r="26" ht="20" customHeight="1">
      <c r="A26" s="49" t="n"/>
      <c r="B26" s="93" t="inlineStr">
        <is>
          <t>UNLEVERED</t>
        </is>
      </c>
      <c r="C26" s="92" t="inlineStr">
        <is>
          <t>Year 0</t>
        </is>
      </c>
      <c r="D26" s="92" t="inlineStr">
        <is>
          <t>Year 1</t>
        </is>
      </c>
      <c r="E26" s="92" t="inlineStr">
        <is>
          <t>Year 2</t>
        </is>
      </c>
      <c r="F26" s="92" t="inlineStr">
        <is>
          <t>Year 3</t>
        </is>
      </c>
      <c r="G26" s="92" t="inlineStr">
        <is>
          <t>Year 4</t>
        </is>
      </c>
      <c r="H26" s="92" t="inlineStr">
        <is>
          <t>Year 5</t>
        </is>
      </c>
      <c r="I26" s="49" t="n"/>
    </row>
    <row r="27">
      <c r="A27" s="49" t="n"/>
      <c r="B27" s="6" t="inlineStr">
        <is>
          <t>Total Investment</t>
        </is>
      </c>
      <c r="C27" s="87">
        <f>-Assumptions!C14-'Capital Plan'!C32</f>
        <v/>
      </c>
      <c r="D27" s="94" t="n">
        <v>0</v>
      </c>
      <c r="E27" s="94" t="n">
        <v>0</v>
      </c>
      <c r="F27" s="94" t="n">
        <v>0</v>
      </c>
      <c r="G27" s="94" t="n">
        <v>0</v>
      </c>
      <c r="H27" s="94" t="n">
        <v>0</v>
      </c>
      <c r="I27" s="49" t="n"/>
    </row>
    <row r="28">
      <c r="A28" s="49" t="n"/>
      <c r="B28" s="6" t="inlineStr">
        <is>
          <t>NOI</t>
        </is>
      </c>
      <c r="C28" s="94" t="n">
        <v>0</v>
      </c>
      <c r="D28" s="94">
        <f>'10-Year Projection'!C17</f>
        <v/>
      </c>
      <c r="E28" s="94">
        <f>'10-Year Projection'!D17</f>
        <v/>
      </c>
      <c r="F28" s="94">
        <f>'10-Year Projection'!E17</f>
        <v/>
      </c>
      <c r="G28" s="94">
        <f>'10-Year Projection'!F17</f>
        <v/>
      </c>
      <c r="H28" s="94">
        <f>'10-Year Projection'!G17</f>
        <v/>
      </c>
      <c r="I28" s="49" t="n"/>
    </row>
    <row r="29">
      <c r="A29" s="49" t="n"/>
      <c r="B29" s="6" t="inlineStr">
        <is>
          <t>Net Sale (No Debt)</t>
        </is>
      </c>
      <c r="C29" s="94" t="n">
        <v>0</v>
      </c>
      <c r="D29" s="94" t="n">
        <v>0</v>
      </c>
      <c r="E29" s="94" t="n">
        <v>0</v>
      </c>
      <c r="F29" s="94" t="n">
        <v>0</v>
      </c>
      <c r="G29" s="94" t="n">
        <v>0</v>
      </c>
      <c r="H29" s="94">
        <f>C14+C15</f>
        <v/>
      </c>
      <c r="I29" s="49" t="n"/>
    </row>
    <row r="30">
      <c r="A30" s="49" t="n"/>
      <c r="B30" s="88" t="inlineStr">
        <is>
          <t>Total Unlevered CF</t>
        </is>
      </c>
      <c r="C30" s="89">
        <f>C27+C28+C29</f>
        <v/>
      </c>
      <c r="D30" s="89">
        <f>D27+D28+D29</f>
        <v/>
      </c>
      <c r="E30" s="89">
        <f>E27+E28+E29</f>
        <v/>
      </c>
      <c r="F30" s="89">
        <f>F27+F28+F29</f>
        <v/>
      </c>
      <c r="G30" s="89">
        <f>G27+G28+G29</f>
        <v/>
      </c>
      <c r="H30" s="89">
        <f>H27+H28+H29</f>
        <v/>
      </c>
      <c r="I30" s="49" t="n"/>
    </row>
    <row r="31" ht="12" customHeight="1">
      <c r="A31" s="49" t="n"/>
      <c r="B31" s="49" t="n"/>
      <c r="C31" s="49" t="n"/>
      <c r="D31" s="49" t="n"/>
      <c r="E31" s="49" t="n"/>
      <c r="F31" s="49" t="n"/>
      <c r="G31" s="49" t="n"/>
      <c r="H31" s="49" t="n"/>
      <c r="I31" s="49" t="n"/>
    </row>
    <row r="32" ht="28" customHeight="1">
      <c r="A32" s="52" t="n"/>
      <c r="B32" s="53" t="inlineStr">
        <is>
          <t>RETURN METRICS</t>
        </is>
      </c>
      <c r="C32" s="52" t="n"/>
      <c r="D32" s="52" t="n"/>
      <c r="E32" s="52" t="n"/>
      <c r="F32" s="52" t="n"/>
      <c r="G32" s="52" t="n"/>
      <c r="H32" s="52" t="n"/>
      <c r="I32" s="52" t="n"/>
    </row>
    <row r="33" ht="32" customHeight="1">
      <c r="A33" s="78" t="n"/>
      <c r="B33" s="79" t="inlineStr">
        <is>
          <t>Levered IRR</t>
        </is>
      </c>
      <c r="C33" s="95">
        <f>IRR(C24:H24)</f>
        <v/>
      </c>
      <c r="D33" s="78" t="n"/>
      <c r="E33" s="78" t="n"/>
      <c r="F33" s="78" t="n"/>
      <c r="G33" s="78" t="n"/>
      <c r="H33" s="78" t="n"/>
      <c r="I33" s="78" t="n"/>
    </row>
    <row r="34" ht="32" customHeight="1">
      <c r="A34" s="78" t="n"/>
      <c r="B34" s="79" t="inlineStr">
        <is>
          <t>Unlevered IRR</t>
        </is>
      </c>
      <c r="C34" s="95">
        <f>IRR(C30:H30)</f>
        <v/>
      </c>
      <c r="D34" s="78" t="n"/>
      <c r="E34" s="78" t="n"/>
      <c r="F34" s="78" t="n"/>
      <c r="G34" s="78" t="n"/>
      <c r="H34" s="78" t="n"/>
      <c r="I34" s="78" t="n"/>
    </row>
    <row r="35" ht="32" customHeight="1">
      <c r="A35" s="78" t="n"/>
      <c r="B35" s="79" t="inlineStr">
        <is>
          <t>Equity Multiple</t>
        </is>
      </c>
      <c r="C35" s="96">
        <f>IF(C7&gt;0,SUM(D24:H24)/(-C24),0)</f>
        <v/>
      </c>
      <c r="D35" s="78" t="n"/>
      <c r="E35" s="78" t="n"/>
      <c r="F35" s="78" t="n"/>
      <c r="G35" s="78" t="n"/>
      <c r="H35" s="78" t="n"/>
      <c r="I35" s="78" t="n"/>
    </row>
    <row r="36" ht="24" customHeight="1">
      <c r="A36" s="49" t="n"/>
      <c r="B36" s="54" t="inlineStr">
        <is>
          <t>Cash-on-Cash (Year 1)</t>
        </is>
      </c>
      <c r="C36" s="77">
        <f>'Year 1 Pro Forma'!C40</f>
        <v/>
      </c>
      <c r="D36" s="56" t="n"/>
      <c r="E36" s="49" t="n"/>
      <c r="F36" s="49" t="n"/>
      <c r="G36" s="49" t="n"/>
      <c r="H36" s="49" t="n"/>
      <c r="I36" s="49" t="n"/>
    </row>
    <row r="37" ht="24" customHeight="1">
      <c r="A37" s="49" t="n"/>
      <c r="B37" s="54" t="inlineStr">
        <is>
          <t>Avg Cash-on-Cash</t>
        </is>
      </c>
      <c r="C37" s="77">
        <f>IF(C7&gt;0,AVERAGE(D22:H22)/(-C21),0)</f>
        <v/>
      </c>
      <c r="D37" s="56" t="n"/>
      <c r="E37" s="49" t="n"/>
      <c r="F37" s="49" t="n"/>
      <c r="G37" s="49" t="n"/>
      <c r="H37" s="49" t="n"/>
      <c r="I37" s="49" t="n"/>
    </row>
    <row r="38" ht="12" customHeight="1">
      <c r="A38" s="49" t="n"/>
      <c r="B38" s="49" t="n"/>
      <c r="C38" s="49" t="n"/>
      <c r="D38" s="49" t="n"/>
      <c r="E38" s="49" t="n"/>
      <c r="F38" s="49" t="n"/>
      <c r="G38" s="49" t="n"/>
      <c r="H38" s="49" t="n"/>
      <c r="I38" s="49" t="n"/>
    </row>
    <row r="39" ht="12" customHeight="1">
      <c r="A39" s="49" t="n"/>
      <c r="B39" s="49" t="n"/>
      <c r="C39" s="49" t="n"/>
      <c r="D39" s="49" t="n"/>
      <c r="E39" s="49" t="n"/>
      <c r="F39" s="49" t="n"/>
      <c r="G39" s="49" t="n"/>
      <c r="H39" s="49" t="n"/>
      <c r="I39" s="49" t="n"/>
    </row>
    <row r="40" ht="28" customHeight="1">
      <c r="A40" s="52" t="n"/>
      <c r="B40" s="53" t="inlineStr">
        <is>
          <t>SENSITIVITY: EQUITY MULTIPLE</t>
        </is>
      </c>
      <c r="C40" s="52" t="n"/>
      <c r="D40" s="52" t="n"/>
      <c r="E40" s="52" t="n"/>
      <c r="F40" s="52" t="n"/>
      <c r="G40" s="52" t="n"/>
      <c r="H40" s="52" t="n"/>
      <c r="I40" s="52" t="n"/>
    </row>
    <row r="41" hidden="1" outlineLevel="1" ht="18" customHeight="1">
      <c r="A41" s="49" t="n"/>
      <c r="B41" s="97" t="inlineStr">
        <is>
          <t>Helper: Y5 NOI at growth rate</t>
        </is>
      </c>
      <c r="C41" s="49" t="n"/>
      <c r="D41" s="98" t="n">
        <v>0.01</v>
      </c>
      <c r="E41" s="98" t="n">
        <v>0.02</v>
      </c>
      <c r="F41" s="98" t="n">
        <v>0.03</v>
      </c>
      <c r="G41" s="98" t="n">
        <v>0.04</v>
      </c>
      <c r="H41" s="98" t="n">
        <v>0.05</v>
      </c>
      <c r="I41" s="49" t="n"/>
    </row>
    <row r="42" hidden="1" outlineLevel="1" ht="18" customHeight="1">
      <c r="A42" s="49" t="n"/>
      <c r="B42" s="97" t="inlineStr">
        <is>
          <t xml:space="preserve">  Exit Year NOI</t>
        </is>
      </c>
      <c r="C42" s="49" t="n"/>
      <c r="D42" s="99">
        <f>('Year 1 Pro Forma'!C7*(1+0.01)^4+'Year 1 Pro Forma'!C11*(1+0.01)^4+'Capital Plan'!C21)*(1-Assumptions!C28)+'Year 1 Pro Forma'!C28*(1+Assumptions!C27)^4</f>
        <v/>
      </c>
      <c r="E42" s="99">
        <f>('Year 1 Pro Forma'!C7*(1+0.02)^4+'Year 1 Pro Forma'!C11*(1+0.02)^4+'Capital Plan'!C21)*(1-Assumptions!C28)+'Year 1 Pro Forma'!C28*(1+Assumptions!C27)^4</f>
        <v/>
      </c>
      <c r="F42" s="99">
        <f>('Year 1 Pro Forma'!C7*(1+0.03)^4+'Year 1 Pro Forma'!C11*(1+0.03)^4+'Capital Plan'!C21)*(1-Assumptions!C28)+'Year 1 Pro Forma'!C28*(1+Assumptions!C27)^4</f>
        <v/>
      </c>
      <c r="G42" s="99">
        <f>('Year 1 Pro Forma'!C7*(1+0.04)^4+'Year 1 Pro Forma'!C11*(1+0.04)^4+'Capital Plan'!C21)*(1-Assumptions!C28)+'Year 1 Pro Forma'!C28*(1+Assumptions!C27)^4</f>
        <v/>
      </c>
      <c r="H42" s="99">
        <f>('Year 1 Pro Forma'!C7*(1+0.05)^4+'Year 1 Pro Forma'!C11*(1+0.05)^4+'Capital Plan'!C21)*(1-Assumptions!C28)+'Year 1 Pro Forma'!C28*(1+Assumptions!C27)^4</f>
        <v/>
      </c>
      <c r="I42" s="49" t="n"/>
    </row>
    <row r="43" hidden="1" outlineLevel="1" ht="18" customHeight="1">
      <c r="A43" s="49" t="n"/>
      <c r="B43" s="97" t="inlineStr">
        <is>
          <t xml:space="preserve">  5-Year Cumul. CF</t>
        </is>
      </c>
      <c r="C43" s="49" t="n"/>
      <c r="D43" s="99">
        <f>(('Year 1 Pro Forma'!C7*(1+0.01)^0+'Year 1 Pro Forma'!C11*(1+0.01)^0+'Capital Plan'!C19)*(1-Assumptions!C28)+'Year 1 Pro Forma'!C28*(1+Assumptions!C27)^0-Assumptions!C42)+(('Year 1 Pro Forma'!C7*(1+0.01)^1+'Year 1 Pro Forma'!C11*(1+0.01)^1+'Capital Plan'!C20)*(1-Assumptions!C28)+'Year 1 Pro Forma'!C28*(1+Assumptions!C27)^1-Assumptions!D42)+(('Year 1 Pro Forma'!C7*(1+0.01)^2+'Year 1 Pro Forma'!C11*(1+0.01)^2+'Capital Plan'!C21)*(1-Assumptions!C28)+'Year 1 Pro Forma'!C28*(1+Assumptions!C27)^2-Assumptions!E42)+(('Year 1 Pro Forma'!C7*(1+0.01)^3+'Year 1 Pro Forma'!C11*(1+0.01)^3+'Capital Plan'!C21)*(1-Assumptions!C28)+'Year 1 Pro Forma'!C28*(1+Assumptions!C27)^3-Assumptions!F42)+(('Year 1 Pro Forma'!C7*(1+0.01)^4+'Year 1 Pro Forma'!C11*(1+0.01)^4+'Capital Plan'!C21)*(1-Assumptions!C28)+'Year 1 Pro Forma'!C28*(1+Assumptions!C27)^4-Assumptions!G42)</f>
        <v/>
      </c>
      <c r="E43" s="99">
        <f>(('Year 1 Pro Forma'!C7*(1+0.02)^0+'Year 1 Pro Forma'!C11*(1+0.02)^0+'Capital Plan'!C19)*(1-Assumptions!C28)+'Year 1 Pro Forma'!C28*(1+Assumptions!C27)^0-Assumptions!C42)+(('Year 1 Pro Forma'!C7*(1+0.02)^1+'Year 1 Pro Forma'!C11*(1+0.02)^1+'Capital Plan'!C20)*(1-Assumptions!C28)+'Year 1 Pro Forma'!C28*(1+Assumptions!C27)^1-Assumptions!D42)+(('Year 1 Pro Forma'!C7*(1+0.02)^2+'Year 1 Pro Forma'!C11*(1+0.02)^2+'Capital Plan'!C21)*(1-Assumptions!C28)+'Year 1 Pro Forma'!C28*(1+Assumptions!C27)^2-Assumptions!E42)+(('Year 1 Pro Forma'!C7*(1+0.02)^3+'Year 1 Pro Forma'!C11*(1+0.02)^3+'Capital Plan'!C21)*(1-Assumptions!C28)+'Year 1 Pro Forma'!C28*(1+Assumptions!C27)^3-Assumptions!F42)+(('Year 1 Pro Forma'!C7*(1+0.02)^4+'Year 1 Pro Forma'!C11*(1+0.02)^4+'Capital Plan'!C21)*(1-Assumptions!C28)+'Year 1 Pro Forma'!C28*(1+Assumptions!C27)^4-Assumptions!G42)</f>
        <v/>
      </c>
      <c r="F43" s="99">
        <f>(('Year 1 Pro Forma'!C7*(1+0.03)^0+'Year 1 Pro Forma'!C11*(1+0.03)^0+'Capital Plan'!C19)*(1-Assumptions!C28)+'Year 1 Pro Forma'!C28*(1+Assumptions!C27)^0-Assumptions!C42)+(('Year 1 Pro Forma'!C7*(1+0.03)^1+'Year 1 Pro Forma'!C11*(1+0.03)^1+'Capital Plan'!C20)*(1-Assumptions!C28)+'Year 1 Pro Forma'!C28*(1+Assumptions!C27)^1-Assumptions!D42)+(('Year 1 Pro Forma'!C7*(1+0.03)^2+'Year 1 Pro Forma'!C11*(1+0.03)^2+'Capital Plan'!C21)*(1-Assumptions!C28)+'Year 1 Pro Forma'!C28*(1+Assumptions!C27)^2-Assumptions!E42)+(('Year 1 Pro Forma'!C7*(1+0.03)^3+'Year 1 Pro Forma'!C11*(1+0.03)^3+'Capital Plan'!C21)*(1-Assumptions!C28)+'Year 1 Pro Forma'!C28*(1+Assumptions!C27)^3-Assumptions!F42)+(('Year 1 Pro Forma'!C7*(1+0.03)^4+'Year 1 Pro Forma'!C11*(1+0.03)^4+'Capital Plan'!C21)*(1-Assumptions!C28)+'Year 1 Pro Forma'!C28*(1+Assumptions!C27)^4-Assumptions!G42)</f>
        <v/>
      </c>
      <c r="G43" s="99">
        <f>(('Year 1 Pro Forma'!C7*(1+0.04)^0+'Year 1 Pro Forma'!C11*(1+0.04)^0+'Capital Plan'!C19)*(1-Assumptions!C28)+'Year 1 Pro Forma'!C28*(1+Assumptions!C27)^0-Assumptions!C42)+(('Year 1 Pro Forma'!C7*(1+0.04)^1+'Year 1 Pro Forma'!C11*(1+0.04)^1+'Capital Plan'!C20)*(1-Assumptions!C28)+'Year 1 Pro Forma'!C28*(1+Assumptions!C27)^1-Assumptions!D42)+(('Year 1 Pro Forma'!C7*(1+0.04)^2+'Year 1 Pro Forma'!C11*(1+0.04)^2+'Capital Plan'!C21)*(1-Assumptions!C28)+'Year 1 Pro Forma'!C28*(1+Assumptions!C27)^2-Assumptions!E42)+(('Year 1 Pro Forma'!C7*(1+0.04)^3+'Year 1 Pro Forma'!C11*(1+0.04)^3+'Capital Plan'!C21)*(1-Assumptions!C28)+'Year 1 Pro Forma'!C28*(1+Assumptions!C27)^3-Assumptions!F42)+(('Year 1 Pro Forma'!C7*(1+0.04)^4+'Year 1 Pro Forma'!C11*(1+0.04)^4+'Capital Plan'!C21)*(1-Assumptions!C28)+'Year 1 Pro Forma'!C28*(1+Assumptions!C27)^4-Assumptions!G42)</f>
        <v/>
      </c>
      <c r="H43" s="99">
        <f>(('Year 1 Pro Forma'!C7*(1+0.05)^0+'Year 1 Pro Forma'!C11*(1+0.05)^0+'Capital Plan'!C19)*(1-Assumptions!C28)+'Year 1 Pro Forma'!C28*(1+Assumptions!C27)^0-Assumptions!C42)+(('Year 1 Pro Forma'!C7*(1+0.05)^1+'Year 1 Pro Forma'!C11*(1+0.05)^1+'Capital Plan'!C20)*(1-Assumptions!C28)+'Year 1 Pro Forma'!C28*(1+Assumptions!C27)^1-Assumptions!D42)+(('Year 1 Pro Forma'!C7*(1+0.05)^2+'Year 1 Pro Forma'!C11*(1+0.05)^2+'Capital Plan'!C21)*(1-Assumptions!C28)+'Year 1 Pro Forma'!C28*(1+Assumptions!C27)^2-Assumptions!E42)+(('Year 1 Pro Forma'!C7*(1+0.05)^3+'Year 1 Pro Forma'!C11*(1+0.05)^3+'Capital Plan'!C21)*(1-Assumptions!C28)+'Year 1 Pro Forma'!C28*(1+Assumptions!C27)^3-Assumptions!F42)+(('Year 1 Pro Forma'!C7*(1+0.05)^4+'Year 1 Pro Forma'!C11*(1+0.05)^4+'Capital Plan'!C21)*(1-Assumptions!C28)+'Year 1 Pro Forma'!C28*(1+Assumptions!C27)^4-Assumptions!G42)</f>
        <v/>
      </c>
      <c r="I43" s="49" t="n"/>
    </row>
    <row r="44" hidden="1" outlineLevel="1" ht="18" customHeight="1">
      <c r="A44" s="49" t="n"/>
      <c r="B44" s="97" t="inlineStr">
        <is>
          <t xml:space="preserve">  Loan Balance at Exit</t>
        </is>
      </c>
      <c r="C44" s="49" t="n"/>
      <c r="D44" s="99">
        <f>CHOOSE(Assumptions!C31,Assumptions!C41,Assumptions!D41,Assumptions!E41,Assumptions!F41,Assumptions!G41,Assumptions!H41,Assumptions!I41,Assumptions!J41,Assumptions!K41,Assumptions!L41)</f>
        <v/>
      </c>
      <c r="E44" s="49" t="n"/>
      <c r="F44" s="49" t="n"/>
      <c r="G44" s="49" t="n"/>
      <c r="H44" s="49" t="n"/>
      <c r="I44" s="49" t="n"/>
    </row>
    <row r="45" ht="8" customHeight="1">
      <c r="A45" s="49" t="n"/>
      <c r="B45" s="49" t="n"/>
      <c r="C45" s="49" t="n"/>
      <c r="D45" s="49" t="n"/>
      <c r="E45" s="49" t="n"/>
      <c r="F45" s="49" t="n"/>
      <c r="G45" s="49" t="n"/>
      <c r="H45" s="49" t="n"/>
      <c r="I45" s="49" t="n"/>
    </row>
    <row r="46" ht="22" customHeight="1">
      <c r="A46" s="49" t="n"/>
      <c r="B46" s="100" t="inlineStr">
        <is>
          <t>Exit Cap \ Rent Growth</t>
        </is>
      </c>
      <c r="C46" s="49" t="inlineStr"/>
      <c r="D46" s="101" t="n">
        <v>0.01</v>
      </c>
      <c r="E46" s="101" t="n">
        <v>0.02</v>
      </c>
      <c r="F46" s="101" t="n">
        <v>0.03</v>
      </c>
      <c r="G46" s="101" t="n">
        <v>0.04</v>
      </c>
      <c r="H46" s="101" t="n">
        <v>0.05</v>
      </c>
      <c r="I46" s="49" t="n"/>
    </row>
    <row r="47" ht="26" customHeight="1">
      <c r="A47" s="49" t="n"/>
      <c r="B47" s="102" t="n">
        <v>0.045</v>
      </c>
      <c r="C47" s="22" t="inlineStr"/>
      <c r="D47" s="103">
        <f>IF(Assumptions!C23&gt;0,(D43+D42/0.045*(1-Assumptions!C33)-D44)/Assumptions!C23,0)</f>
        <v/>
      </c>
      <c r="E47" s="103">
        <f>IF(Assumptions!C23&gt;0,(E43+E42/0.045*(1-Assumptions!C33)-D44)/Assumptions!C23,0)</f>
        <v/>
      </c>
      <c r="F47" s="103">
        <f>IF(Assumptions!C23&gt;0,(F43+F42/0.045*(1-Assumptions!C33)-D44)/Assumptions!C23,0)</f>
        <v/>
      </c>
      <c r="G47" s="103">
        <f>IF(Assumptions!C23&gt;0,(G43+G42/0.045*(1-Assumptions!C33)-D44)/Assumptions!C23,0)</f>
        <v/>
      </c>
      <c r="H47" s="103">
        <f>IF(Assumptions!C23&gt;0,(H43+H42/0.045*(1-Assumptions!C33)-D44)/Assumptions!C23,0)</f>
        <v/>
      </c>
      <c r="I47" s="49" t="n"/>
    </row>
    <row r="48" ht="26" customHeight="1">
      <c r="A48" s="49" t="n"/>
      <c r="B48" s="102" t="n">
        <v>0.05</v>
      </c>
      <c r="C48" s="22" t="inlineStr"/>
      <c r="D48" s="103">
        <f>IF(Assumptions!C23&gt;0,(D43+D42/0.05*(1-Assumptions!C33)-D44)/Assumptions!C23,0)</f>
        <v/>
      </c>
      <c r="E48" s="103">
        <f>IF(Assumptions!C23&gt;0,(E43+E42/0.05*(1-Assumptions!C33)-D44)/Assumptions!C23,0)</f>
        <v/>
      </c>
      <c r="F48" s="103">
        <f>IF(Assumptions!C23&gt;0,(F43+F42/0.05*(1-Assumptions!C33)-D44)/Assumptions!C23,0)</f>
        <v/>
      </c>
      <c r="G48" s="103">
        <f>IF(Assumptions!C23&gt;0,(G43+G42/0.05*(1-Assumptions!C33)-D44)/Assumptions!C23,0)</f>
        <v/>
      </c>
      <c r="H48" s="103">
        <f>IF(Assumptions!C23&gt;0,(H43+H42/0.05*(1-Assumptions!C33)-D44)/Assumptions!C23,0)</f>
        <v/>
      </c>
      <c r="I48" s="49" t="n"/>
    </row>
    <row r="49" ht="26" customHeight="1">
      <c r="A49" s="49" t="n"/>
      <c r="B49" s="102" t="n">
        <v>0.055</v>
      </c>
      <c r="C49" s="22" t="inlineStr"/>
      <c r="D49" s="103">
        <f>IF(Assumptions!C23&gt;0,(D43+D42/0.055*(1-Assumptions!C33)-D44)/Assumptions!C23,0)</f>
        <v/>
      </c>
      <c r="E49" s="103">
        <f>IF(Assumptions!C23&gt;0,(E43+E42/0.055*(1-Assumptions!C33)-D44)/Assumptions!C23,0)</f>
        <v/>
      </c>
      <c r="F49" s="103">
        <f>IF(Assumptions!C23&gt;0,(F43+F42/0.055*(1-Assumptions!C33)-D44)/Assumptions!C23,0)</f>
        <v/>
      </c>
      <c r="G49" s="103">
        <f>IF(Assumptions!C23&gt;0,(G43+G42/0.055*(1-Assumptions!C33)-D44)/Assumptions!C23,0)</f>
        <v/>
      </c>
      <c r="H49" s="103">
        <f>IF(Assumptions!C23&gt;0,(H43+H42/0.055*(1-Assumptions!C33)-D44)/Assumptions!C23,0)</f>
        <v/>
      </c>
      <c r="I49" s="49" t="n"/>
    </row>
    <row r="50" ht="26" customHeight="1">
      <c r="A50" s="49" t="n"/>
      <c r="B50" s="102" t="n">
        <v>0.06</v>
      </c>
      <c r="C50" s="22" t="inlineStr"/>
      <c r="D50" s="103">
        <f>IF(Assumptions!C23&gt;0,(D43+D42/0.06*(1-Assumptions!C33)-D44)/Assumptions!C23,0)</f>
        <v/>
      </c>
      <c r="E50" s="103">
        <f>IF(Assumptions!C23&gt;0,(E43+E42/0.06*(1-Assumptions!C33)-D44)/Assumptions!C23,0)</f>
        <v/>
      </c>
      <c r="F50" s="103">
        <f>IF(Assumptions!C23&gt;0,(F43+F42/0.06*(1-Assumptions!C33)-D44)/Assumptions!C23,0)</f>
        <v/>
      </c>
      <c r="G50" s="103">
        <f>IF(Assumptions!C23&gt;0,(G43+G42/0.06*(1-Assumptions!C33)-D44)/Assumptions!C23,0)</f>
        <v/>
      </c>
      <c r="H50" s="103">
        <f>IF(Assumptions!C23&gt;0,(H43+H42/0.06*(1-Assumptions!C33)-D44)/Assumptions!C23,0)</f>
        <v/>
      </c>
      <c r="I50" s="49" t="n"/>
    </row>
    <row r="51" ht="26" customHeight="1">
      <c r="A51" s="49" t="n"/>
      <c r="B51" s="102" t="n">
        <v>0.065</v>
      </c>
      <c r="C51" s="22" t="inlineStr"/>
      <c r="D51" s="103">
        <f>IF(Assumptions!C23&gt;0,(D43+D42/0.065*(1-Assumptions!C33)-D44)/Assumptions!C23,0)</f>
        <v/>
      </c>
      <c r="E51" s="103">
        <f>IF(Assumptions!C23&gt;0,(E43+E42/0.065*(1-Assumptions!C33)-D44)/Assumptions!C23,0)</f>
        <v/>
      </c>
      <c r="F51" s="103">
        <f>IF(Assumptions!C23&gt;0,(F43+F42/0.065*(1-Assumptions!C33)-D44)/Assumptions!C23,0)</f>
        <v/>
      </c>
      <c r="G51" s="103">
        <f>IF(Assumptions!C23&gt;0,(G43+G42/0.065*(1-Assumptions!C33)-D44)/Assumptions!C23,0)</f>
        <v/>
      </c>
      <c r="H51" s="103">
        <f>IF(Assumptions!C23&gt;0,(H43+H42/0.065*(1-Assumptions!C33)-D44)/Assumptions!C23,0)</f>
        <v/>
      </c>
      <c r="I51" s="49" t="n"/>
    </row>
    <row r="52">
      <c r="A52" s="49" t="n"/>
      <c r="B52" s="49" t="n"/>
      <c r="C52" s="49" t="n"/>
      <c r="D52" s="49" t="n"/>
      <c r="E52" s="49" t="n"/>
      <c r="F52" s="49" t="n"/>
      <c r="G52" s="49" t="n"/>
      <c r="H52" s="49" t="n"/>
      <c r="I52" s="49" t="n"/>
    </row>
    <row r="53">
      <c r="A53" s="49" t="n"/>
      <c r="B53" s="104" t="inlineStr">
        <is>
          <t>Note: Equity multiple at various exit cap rates and rent growth assumptions.</t>
        </is>
      </c>
      <c r="C53" s="49" t="n"/>
      <c r="D53" s="49" t="n"/>
      <c r="E53" s="49" t="n"/>
      <c r="F53" s="49" t="n"/>
      <c r="G53" s="49" t="n"/>
      <c r="H53" s="49" t="n"/>
      <c r="I53" s="49" t="n"/>
    </row>
    <row r="55">
      <c r="A55" s="72" t="n"/>
      <c r="B55" s="73" t="inlineStr">
        <is>
          <t>Built with PropRise Primer  |  proprise.ai</t>
        </is>
      </c>
      <c r="C55" s="72" t="n"/>
      <c r="D55" s="72" t="n"/>
      <c r="E55" s="72" t="n"/>
      <c r="F55" s="72" t="n"/>
      <c r="G55" s="72" t="n"/>
      <c r="H55" s="72" t="n"/>
      <c r="I55" s="72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conditionalFormatting sqref="D47:H51">
    <cfRule type="colorScale" priority="1">
      <colorScale>
        <cfvo type="min"/>
        <cfvo type="percentile" val="50"/>
        <cfvo type="max"/>
        <color rgb="00FEE2E2"/>
        <color rgb="00FFFEF0"/>
        <color rgb="00DCFCE7"/>
      </colorScale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36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8" customWidth="1" min="2" max="2"/>
    <col width="18" customWidth="1" min="3" max="3"/>
    <col width="15" customWidth="1" min="4" max="4"/>
  </cols>
  <sheetData>
    <row r="1" ht="8" customHeight="1">
      <c r="A1" s="49" t="n"/>
      <c r="B1" s="49" t="n"/>
      <c r="C1" s="49" t="n"/>
      <c r="D1" s="49" t="n"/>
    </row>
    <row r="2" ht="32" customHeight="1">
      <c r="A2" s="49" t="n"/>
      <c r="B2" s="50" t="inlineStr">
        <is>
          <t>Capital Expenditure Plan</t>
        </is>
      </c>
      <c r="C2" s="49" t="n"/>
      <c r="D2" s="49" t="n"/>
    </row>
    <row r="3" ht="18" customHeight="1">
      <c r="A3" s="49" t="n"/>
      <c r="B3" s="51" t="inlineStr">
        <is>
          <t>PropRise Primer Template</t>
        </is>
      </c>
      <c r="C3" s="49" t="n"/>
      <c r="D3" s="49" t="n"/>
    </row>
    <row r="4">
      <c r="A4" s="49" t="n"/>
      <c r="B4" s="49" t="n"/>
      <c r="C4" s="49" t="n"/>
      <c r="D4" s="49" t="n"/>
    </row>
    <row r="5" ht="12" customHeight="1">
      <c r="A5" s="49" t="n"/>
      <c r="B5" s="49" t="n"/>
      <c r="C5" s="49" t="n"/>
      <c r="D5" s="49" t="n"/>
    </row>
    <row r="6" ht="28" customHeight="1">
      <c r="A6" s="52" t="n"/>
      <c r="B6" s="53" t="inlineStr">
        <is>
          <t>INTERIOR RENOVATION</t>
        </is>
      </c>
      <c r="C6" s="52" t="n"/>
      <c r="D6" s="52" t="n"/>
    </row>
    <row r="7" ht="24" customHeight="1">
      <c r="A7" s="49" t="n"/>
      <c r="B7" s="54" t="inlineStr">
        <is>
          <t>Units to Renovate</t>
        </is>
      </c>
      <c r="C7" s="66" t="n">
        <v>50</v>
      </c>
      <c r="D7" s="56" t="n"/>
    </row>
    <row r="8" ht="24" customHeight="1">
      <c r="A8" s="49" t="n"/>
      <c r="B8" s="54" t="inlineStr">
        <is>
          <t>Cost per Unit</t>
        </is>
      </c>
      <c r="C8" s="55" t="n">
        <v>7500</v>
      </c>
      <c r="D8" s="56" t="n"/>
    </row>
    <row r="9" ht="24" customHeight="1">
      <c r="A9" s="49" t="n"/>
      <c r="B9" s="54" t="inlineStr">
        <is>
          <t>Total Interior CapEx</t>
        </is>
      </c>
      <c r="C9" s="58">
        <f>C7*C8</f>
        <v/>
      </c>
      <c r="D9" s="56" t="n"/>
    </row>
    <row r="10" ht="24" customHeight="1">
      <c r="A10" s="49" t="n"/>
      <c r="B10" s="54" t="inlineStr">
        <is>
          <t>Monthly Rent Premium</t>
        </is>
      </c>
      <c r="C10" s="55" t="n">
        <v>175</v>
      </c>
      <c r="D10" s="56" t="n"/>
    </row>
    <row r="11" ht="24" customHeight="1">
      <c r="A11" s="49" t="n"/>
      <c r="B11" s="54" t="inlineStr">
        <is>
          <t>Stabilized Annual Premium</t>
        </is>
      </c>
      <c r="C11" s="58">
        <f>C7*C10*12</f>
        <v/>
      </c>
      <c r="D11" s="56" t="n"/>
    </row>
    <row r="12" ht="24" customHeight="1">
      <c r="A12" s="49" t="n"/>
      <c r="B12" s="54" t="inlineStr">
        <is>
          <t>Premium Yield on Cost</t>
        </is>
      </c>
      <c r="C12" s="77">
        <f>IF(C9&gt;0,C11/C9,0)</f>
        <v/>
      </c>
      <c r="D12" s="56" t="n"/>
    </row>
    <row r="13" ht="12" customHeight="1">
      <c r="A13" s="49" t="n"/>
      <c r="B13" s="49" t="n"/>
      <c r="C13" s="49" t="n"/>
      <c r="D13" s="49" t="n"/>
    </row>
    <row r="14" ht="28" customHeight="1">
      <c r="A14" s="52" t="n"/>
      <c r="B14" s="53" t="inlineStr">
        <is>
          <t>RENOVATION INCOME PHASE-IN</t>
        </is>
      </c>
      <c r="C14" s="52" t="n"/>
      <c r="D14" s="52" t="n"/>
    </row>
    <row r="15" ht="24" customHeight="1">
      <c r="A15" s="49" t="n"/>
      <c r="B15" s="54" t="inlineStr">
        <is>
          <t>Year 1 Capture Rate</t>
        </is>
      </c>
      <c r="C15" s="105" t="n">
        <v>0</v>
      </c>
      <c r="D15" s="56" t="n"/>
    </row>
    <row r="16" ht="24" customHeight="1">
      <c r="A16" s="49" t="n"/>
      <c r="B16" s="54" t="inlineStr">
        <is>
          <t>Year 2 Capture Rate</t>
        </is>
      </c>
      <c r="C16" s="105" t="n">
        <v>0.5</v>
      </c>
      <c r="D16" s="56" t="n"/>
    </row>
    <row r="17" ht="24" customHeight="1">
      <c r="A17" s="49" t="n"/>
      <c r="B17" s="54" t="inlineStr">
        <is>
          <t>Year 3+ Capture Rate</t>
        </is>
      </c>
      <c r="C17" s="105" t="n">
        <v>1</v>
      </c>
      <c r="D17" s="56" t="n"/>
    </row>
    <row r="18" ht="12" customHeight="1">
      <c r="A18" s="49" t="n"/>
      <c r="B18" s="49" t="n"/>
      <c r="C18" s="49" t="n"/>
      <c r="D18" s="49" t="n"/>
    </row>
    <row r="19" ht="24" customHeight="1">
      <c r="A19" s="49" t="n"/>
      <c r="B19" s="54" t="inlineStr">
        <is>
          <t>Year 1 Reno Income</t>
        </is>
      </c>
      <c r="C19" s="58">
        <f>C11*C15</f>
        <v/>
      </c>
      <c r="D19" s="56" t="n"/>
    </row>
    <row r="20" ht="24" customHeight="1">
      <c r="A20" s="49" t="n"/>
      <c r="B20" s="54" t="inlineStr">
        <is>
          <t>Year 2 Reno Income</t>
        </is>
      </c>
      <c r="C20" s="58">
        <f>C11*C16</f>
        <v/>
      </c>
      <c r="D20" s="56" t="n"/>
    </row>
    <row r="21" ht="24" customHeight="1">
      <c r="A21" s="49" t="n"/>
      <c r="B21" s="54" t="inlineStr">
        <is>
          <t>Year 3+ Reno Income</t>
        </is>
      </c>
      <c r="C21" s="58">
        <f>C11*C17</f>
        <v/>
      </c>
      <c r="D21" s="56" t="n"/>
    </row>
    <row r="22" ht="12" customHeight="1">
      <c r="A22" s="49" t="n"/>
      <c r="B22" s="49" t="n"/>
      <c r="C22" s="49" t="n"/>
      <c r="D22" s="49" t="n"/>
    </row>
    <row r="23" ht="28" customHeight="1">
      <c r="A23" s="52" t="n"/>
      <c r="B23" s="53" t="inlineStr">
        <is>
          <t>EXTERIOR / COMMON AREA</t>
        </is>
      </c>
      <c r="C23" s="52" t="n"/>
      <c r="D23" s="52" t="n"/>
    </row>
    <row r="24" ht="24" customHeight="1">
      <c r="A24" s="49" t="n"/>
      <c r="B24" s="54" t="inlineStr">
        <is>
          <t>Exterior Repairs</t>
        </is>
      </c>
      <c r="C24" s="55" t="n">
        <v>75000</v>
      </c>
      <c r="D24" s="56" t="n"/>
    </row>
    <row r="25" ht="24" customHeight="1">
      <c r="A25" s="49" t="n"/>
      <c r="B25" s="54" t="inlineStr">
        <is>
          <t>Amenity Upgrades</t>
        </is>
      </c>
      <c r="C25" s="55" t="n">
        <v>112500</v>
      </c>
      <c r="D25" s="56" t="n"/>
    </row>
    <row r="26" ht="24" customHeight="1">
      <c r="A26" s="49" t="n"/>
      <c r="B26" s="54" t="inlineStr">
        <is>
          <t>Parking / Site Work</t>
        </is>
      </c>
      <c r="C26" s="55" t="n">
        <v>37500</v>
      </c>
      <c r="D26" s="56" t="n"/>
    </row>
    <row r="27" ht="28" customHeight="1">
      <c r="A27" s="49" t="n"/>
      <c r="B27" s="62" t="inlineStr">
        <is>
          <t>Total Exterior CapEx</t>
        </is>
      </c>
      <c r="C27" s="63">
        <f>SUM(C24:C26)</f>
        <v/>
      </c>
      <c r="D27" s="64" t="n"/>
    </row>
    <row r="28" ht="12" customHeight="1">
      <c r="A28" s="49" t="n"/>
      <c r="B28" s="49" t="n"/>
      <c r="C28" s="49" t="n"/>
      <c r="D28" s="49" t="n"/>
    </row>
    <row r="29" ht="28" customHeight="1">
      <c r="A29" s="52" t="n"/>
      <c r="B29" s="53" t="inlineStr">
        <is>
          <t>CAPITAL BUDGET SUMMARY</t>
        </is>
      </c>
      <c r="C29" s="52" t="n"/>
      <c r="D29" s="52" t="n"/>
    </row>
    <row r="30" ht="24" customHeight="1">
      <c r="A30" s="49" t="n"/>
      <c r="B30" s="54" t="inlineStr">
        <is>
          <t>Total Interior CapEx</t>
        </is>
      </c>
      <c r="C30" s="58">
        <f>C9</f>
        <v/>
      </c>
      <c r="D30" s="56" t="n"/>
    </row>
    <row r="31" ht="24" customHeight="1">
      <c r="A31" s="49" t="n"/>
      <c r="B31" s="54" t="inlineStr">
        <is>
          <t>Total Exterior CapEx</t>
        </is>
      </c>
      <c r="C31" s="58">
        <f>C27</f>
        <v/>
      </c>
      <c r="D31" s="56" t="n"/>
    </row>
    <row r="32" ht="32" customHeight="1">
      <c r="A32" s="78" t="n"/>
      <c r="B32" s="79" t="inlineStr">
        <is>
          <t>TOTAL CAPEX BUDGET</t>
        </is>
      </c>
      <c r="C32" s="80">
        <f>C30+C31</f>
        <v/>
      </c>
      <c r="D32" s="78" t="n"/>
    </row>
    <row r="33" ht="24" customHeight="1">
      <c r="A33" s="49" t="n"/>
      <c r="B33" s="54" t="inlineStr">
        <is>
          <t>CapEx per Unit (all)</t>
        </is>
      </c>
      <c r="C33" s="58">
        <f>IF(Assumptions!C8&gt;0,C32/Assumptions!C8,0)</f>
        <v/>
      </c>
      <c r="D33" s="56" t="n"/>
    </row>
    <row r="35" ht="20" customHeight="1">
      <c r="A35" s="49" t="n"/>
      <c r="B35" s="49" t="n"/>
      <c r="C35" s="49" t="n"/>
      <c r="D35" s="49" t="n"/>
    </row>
    <row r="36">
      <c r="A36" s="72" t="n"/>
      <c r="B36" s="73" t="inlineStr">
        <is>
          <t>Built with PropRise Primer  |  proprise.ai</t>
        </is>
      </c>
      <c r="C36" s="72" t="n"/>
      <c r="D36" s="72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pageMargins left="0.5" right="0.5" top="0.75" bottom="0.75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2026-02-25T04:40:29Z</dcterms:created>
  <dcterms:modified xsi:type="dcterms:W3CDTF">2026-02-25T04:40:29Z</dcterms:modified>
</cp:coreProperties>
</file>